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yfonsecag.UBPD\Downloads\seguimientos plana de acción\2019\"/>
    </mc:Choice>
  </mc:AlternateContent>
  <xr:revisionPtr revIDLastSave="0" documentId="13_ncr:1_{ED2E749C-11CA-4A62-960B-B2FD9CA6F874}" xr6:coauthVersionLast="47" xr6:coauthVersionMax="47" xr10:uidLastSave="{00000000-0000-0000-0000-000000000000}"/>
  <bookViews>
    <workbookView xWindow="20370" yWindow="-120" windowWidth="29040" windowHeight="15840" tabRatio="839" xr2:uid="{00000000-000D-0000-FFFF-FFFF00000000}"/>
  </bookViews>
  <sheets>
    <sheet name="Seguimiento Plan de Accion 4 TR" sheetId="11" r:id="rId1"/>
    <sheet name="Convenciones de color" sheetId="12" r:id="rId2"/>
  </sheets>
  <definedNames>
    <definedName name="_xlnm._FilterDatabase" localSheetId="0" hidden="1">'Seguimiento Plan de Accion 4 TR'!$A$4:$AR$326</definedName>
    <definedName name="_xlnm.Print_Area" localSheetId="0">'Seguimiento Plan de Accion 4 TR'!$A$1:$AR$326</definedName>
    <definedName name="_xlnm.Print_Titles" localSheetId="0">'Seguimiento Plan de Accion 4 TR'!$4:$4</definedName>
    <definedName name="Z_0C4E3B15_B828_4253_80DF_1C930F5FC7EA_.wvu.FilterData" localSheetId="0" hidden="1">'Seguimiento Plan de Accion 4 TR'!$A$4:$S$326</definedName>
    <definedName name="Z_19AD3EB2_D679_48BA_A52C_94D50EAE424F_.wvu.FilterData" localSheetId="0" hidden="1">'Seguimiento Plan de Accion 4 TR'!$A$4:$S$326</definedName>
    <definedName name="Z_1F2D324F_AD71_4D3C_8E52_8D06443C5ECD_.wvu.FilterData" localSheetId="0" hidden="1">'Seguimiento Plan de Accion 4 TR'!$A$4:$S$326</definedName>
    <definedName name="Z_210C768B_38E4_4D2C_8149_F4A32F21E0EE_.wvu.Cols" localSheetId="0" hidden="1">'Seguimiento Plan de Accion 4 TR'!$K:$K</definedName>
    <definedName name="Z_210C768B_38E4_4D2C_8149_F4A32F21E0EE_.wvu.FilterData" localSheetId="0" hidden="1">'Seguimiento Plan de Accion 4 TR'!$A$4:$AR$326</definedName>
    <definedName name="Z_210C768B_38E4_4D2C_8149_F4A32F21E0EE_.wvu.PrintArea" localSheetId="0" hidden="1">'Seguimiento Plan de Accion 4 TR'!$A$1:$K$326</definedName>
    <definedName name="Z_210C768B_38E4_4D2C_8149_F4A32F21E0EE_.wvu.PrintTitles" localSheetId="0" hidden="1">'Seguimiento Plan de Accion 4 TR'!$4:$4</definedName>
    <definedName name="Z_210C768B_38E4_4D2C_8149_F4A32F21E0EE_.wvu.Rows" localSheetId="0" hidden="1">'Seguimiento Plan de Accion 4 TR'!$3:$3</definedName>
    <definedName name="Z_41BB6028_7984_42DF_9893_73ADF68B5878_.wvu.FilterData" localSheetId="0" hidden="1">'Seguimiento Plan de Accion 4 TR'!$A$4:$S$326</definedName>
    <definedName name="Z_85D7DEF3_4168_4539_9E03_35993795635A_.wvu.Cols" localSheetId="0" hidden="1">'Seguimiento Plan de Accion 4 TR'!$A:$B,'Seguimiento Plan de Accion 4 TR'!$E:$F,'Seguimiento Plan de Accion 4 TR'!$K:$K</definedName>
    <definedName name="Z_85D7DEF3_4168_4539_9E03_35993795635A_.wvu.FilterData" localSheetId="0" hidden="1">'Seguimiento Plan de Accion 4 TR'!$A$4:$S$326</definedName>
    <definedName name="Z_85D7DEF3_4168_4539_9E03_35993795635A_.wvu.PrintArea" localSheetId="0" hidden="1">'Seguimiento Plan de Accion 4 TR'!$A$1:$K$326</definedName>
    <definedName name="Z_85D7DEF3_4168_4539_9E03_35993795635A_.wvu.PrintTitles" localSheetId="0" hidden="1">'Seguimiento Plan de Accion 4 TR'!$4:$4</definedName>
    <definedName name="Z_85D7DEF3_4168_4539_9E03_35993795635A_.wvu.Rows" localSheetId="0" hidden="1">'Seguimiento Plan de Accion 4 TR'!$3:$3</definedName>
    <definedName name="Z_9DBCB782_39B5_466D_A686_EB6262D16528_.wvu.FilterData" localSheetId="0" hidden="1">'Seguimiento Plan de Accion 4 TR'!$A$4:$S$326</definedName>
    <definedName name="Z_A3F23D57_CC1E_4DF4_9DA8_CF538210FE4F_.wvu.FilterData" localSheetId="0" hidden="1">'Seguimiento Plan de Accion 4 TR'!$A$4:$S$326</definedName>
    <definedName name="Z_B854DAB7_C232_40B9_8923_BB31D3B04925_.wvu.FilterData" localSheetId="0" hidden="1">'Seguimiento Plan de Accion 4 TR'!$A$4:$S$326</definedName>
    <definedName name="Z_D7DA41A1_2E36_41DF_B1FF_4ACC1F9E5E8F_.wvu.FilterData" localSheetId="0" hidden="1">'Seguimiento Plan de Accion 4 TR'!$A$4:$S$326</definedName>
    <definedName name="Z_F3FE2E25_EE6D_4DA3_9970_2EF847DD5D8E_.wvu.FilterData" localSheetId="0" hidden="1">'Seguimiento Plan de Accion 4 TR'!$A$4:$S$326</definedName>
    <definedName name="Z_FB1E2891_2A33_44CA_9506_1229A0319D8A_.wvu.Cols" localSheetId="0" hidden="1">'Seguimiento Plan de Accion 4 TR'!$A:$C,'Seguimiento Plan de Accion 4 TR'!$F:$I,'Seguimiento Plan de Accion 4 TR'!$K:$S</definedName>
    <definedName name="Z_FB1E2891_2A33_44CA_9506_1229A0319D8A_.wvu.FilterData" localSheetId="0" hidden="1">'Seguimiento Plan de Accion 4 TR'!$A$4:$AR$326</definedName>
    <definedName name="Z_FB1E2891_2A33_44CA_9506_1229A0319D8A_.wvu.PrintArea" localSheetId="0" hidden="1">'Seguimiento Plan de Accion 4 TR'!$A$1:$K$326</definedName>
    <definedName name="Z_FB1E2891_2A33_44CA_9506_1229A0319D8A_.wvu.PrintTitles" localSheetId="0" hidden="1">'Seguimiento Plan de Accion 4 TR'!$4:$4</definedName>
    <definedName name="Z_FB1E2891_2A33_44CA_9506_1229A0319D8A_.wvu.Rows" localSheetId="0" hidden="1">'Seguimiento Plan de Accion 4 TR'!$3:$3</definedName>
    <definedName name="Z_FE9D7E1F_30D6_427C_BF8F_CF4F784BAD91_.wvu.FilterData" localSheetId="0" hidden="1">'Seguimiento Plan de Accion 4 TR'!$A$4:$S$326</definedName>
  </definedNames>
  <calcPr calcId="191029"/>
  <customWorkbookViews>
    <customWorkbookView name="Parra Cristancho Sandra Patricia - Vista personalizada" guid="{FB1E2891-2A33-44CA-9506-1229A0319D8A}" mergeInterval="0" personalView="1" maximized="1" xWindow="-8" yWindow="-8" windowWidth="1936" windowHeight="1056" tabRatio="839" activeSheetId="11"/>
    <customWorkbookView name="Tatiana Rodríguez Maldonado - Vista personalizada" guid="{85D7DEF3-4168-4539-9E03-35993795635A}" mergeInterval="0" personalView="1" maximized="1" xWindow="-8" yWindow="-8" windowWidth="1936" windowHeight="1056" tabRatio="839" activeSheetId="11"/>
    <customWorkbookView name="cristian leonardo mendez ruiz - Vista personalizada" guid="{210C768B-38E4-4D2C-8149-F4A32F21E0EE}" autoUpdate="1" mergeInterval="5" personalView="1" maximized="1" xWindow="-8" yWindow="-8" windowWidth="1936" windowHeight="1056" tabRatio="839"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N136" i="11" l="1"/>
  <c r="AN65" i="11"/>
  <c r="AM5" i="11" l="1"/>
  <c r="AN5" i="11"/>
  <c r="AN157" i="11" l="1"/>
  <c r="AM157" i="11"/>
  <c r="AM82" i="11" l="1"/>
  <c r="AN315" i="11"/>
  <c r="AM315" i="11"/>
  <c r="AN125" i="11" l="1"/>
  <c r="AN57" i="11" l="1"/>
  <c r="AN93" i="11"/>
  <c r="AM93" i="11"/>
  <c r="AN262" i="11" l="1"/>
  <c r="AM262" i="11"/>
  <c r="AN320" i="11" l="1"/>
  <c r="AM320" i="11"/>
  <c r="AM317" i="11"/>
  <c r="AN317" i="11"/>
  <c r="AN98" i="11" l="1"/>
  <c r="AN291" i="11" l="1"/>
  <c r="AM291" i="11"/>
  <c r="AN249" i="11" l="1"/>
  <c r="AM249" i="11"/>
  <c r="AN15" i="11" l="1"/>
  <c r="AM15" i="11"/>
  <c r="AM324" i="11" l="1"/>
  <c r="AN322" i="11"/>
  <c r="AM322" i="11"/>
  <c r="AM313" i="11"/>
  <c r="AN309" i="11" l="1"/>
  <c r="AM309" i="11"/>
  <c r="AN307" i="11"/>
  <c r="AM307" i="11"/>
  <c r="AN301" i="11"/>
  <c r="AM301" i="11"/>
  <c r="AM299" i="11"/>
  <c r="AM295" i="11"/>
  <c r="AN285" i="11" l="1"/>
  <c r="AM285" i="11"/>
  <c r="AN282" i="11"/>
  <c r="AM282" i="11"/>
  <c r="AN278" i="11" l="1"/>
  <c r="AM278" i="11"/>
  <c r="AN274" i="11"/>
  <c r="AM274" i="11"/>
  <c r="AN272" i="11"/>
  <c r="AM272" i="11"/>
  <c r="AN270" i="11"/>
  <c r="AM270" i="11"/>
  <c r="AN268" i="11"/>
  <c r="AM268" i="11"/>
  <c r="AN256" i="11" l="1"/>
  <c r="AM256" i="11"/>
  <c r="AN242" i="11"/>
  <c r="AM242" i="11"/>
  <c r="AM236" i="11"/>
  <c r="AN231" i="11"/>
  <c r="AM231" i="11"/>
  <c r="AN225" i="11"/>
  <c r="AM225" i="11"/>
  <c r="AN217" i="11" l="1"/>
  <c r="AM217" i="11"/>
  <c r="AN213" i="11" l="1"/>
  <c r="AM213" i="11"/>
  <c r="AN208" i="11"/>
  <c r="AM208" i="11"/>
  <c r="AM190" i="11"/>
  <c r="AM186" i="11" l="1"/>
  <c r="AE186" i="11"/>
  <c r="AN180" i="11"/>
  <c r="AM180" i="11"/>
  <c r="AN174" i="11"/>
  <c r="AM174" i="11"/>
  <c r="AN171" i="11" l="1"/>
  <c r="AM171" i="11"/>
  <c r="AN169" i="11"/>
  <c r="AM169" i="11"/>
  <c r="AN165" i="11"/>
  <c r="AM165" i="11"/>
  <c r="AN159" i="11"/>
  <c r="AM159" i="11"/>
  <c r="AN154" i="11"/>
  <c r="AM154" i="11"/>
  <c r="AN151" i="11"/>
  <c r="AM151" i="11"/>
  <c r="AN149" i="11"/>
  <c r="AM149" i="11"/>
  <c r="AN143" i="11"/>
  <c r="AM143" i="11"/>
  <c r="AM136" i="11" l="1"/>
  <c r="AN132" i="11"/>
  <c r="AM132" i="11"/>
  <c r="AN129" i="11"/>
  <c r="AM129" i="11"/>
  <c r="AN114" i="11" l="1"/>
  <c r="AM114" i="11"/>
  <c r="AM109" i="11" l="1"/>
  <c r="AN109" i="11"/>
  <c r="AN105" i="11"/>
  <c r="AM105" i="11"/>
  <c r="AM98" i="11" l="1"/>
  <c r="AN96" i="11"/>
  <c r="AM96" i="11"/>
  <c r="AN89" i="11"/>
  <c r="AM89" i="11"/>
  <c r="AN77" i="11" l="1"/>
  <c r="AM77" i="11"/>
  <c r="AM65" i="11"/>
  <c r="AM57" i="11" l="1"/>
  <c r="AN54" i="11"/>
  <c r="AM54" i="11"/>
  <c r="AM48" i="11"/>
  <c r="AN45" i="11"/>
  <c r="AM37" i="11"/>
  <c r="AN33" i="11"/>
  <c r="AM33" i="11"/>
  <c r="AN28" i="11"/>
  <c r="AN21" i="11"/>
  <c r="AM21" i="11"/>
  <c r="AN10" i="11" l="1"/>
  <c r="AM10" i="11"/>
  <c r="AM28" i="11" l="1"/>
  <c r="AM45" i="11"/>
  <c r="AM60" i="11"/>
  <c r="AN60" i="11"/>
  <c r="AM125" i="11"/>
  <c r="AM146" i="11"/>
  <c r="AN146" i="11"/>
  <c r="AN236" i="11"/>
  <c r="AM288" i="11"/>
  <c r="AN324" i="11"/>
  <c r="AF291" i="11" l="1"/>
  <c r="AF157" i="11"/>
  <c r="AE82" i="11"/>
  <c r="AF65" i="11" l="1"/>
  <c r="AF33" i="11" l="1"/>
  <c r="AE33" i="11"/>
  <c r="AE190" i="11" l="1"/>
  <c r="AF129" i="11"/>
  <c r="AF109" i="11" l="1"/>
  <c r="AE109" i="11"/>
  <c r="P109" i="11"/>
  <c r="AF54" i="11" l="1"/>
  <c r="AF45" i="11"/>
  <c r="AF21" i="11"/>
  <c r="AF217" i="11" l="1"/>
  <c r="AE217" i="11"/>
  <c r="AF180" i="11" l="1"/>
  <c r="AE180" i="11"/>
  <c r="AF174" i="11"/>
  <c r="AE174" i="11"/>
  <c r="AF165" i="11" l="1"/>
  <c r="AE165" i="11"/>
  <c r="AF159" i="11"/>
  <c r="AE159" i="11"/>
  <c r="AE157" i="11" l="1"/>
  <c r="AF154" i="11"/>
  <c r="AE154" i="11"/>
  <c r="AF151" i="11"/>
  <c r="AE151" i="11"/>
  <c r="AF149" i="11"/>
  <c r="AE149" i="11"/>
  <c r="AF136" i="11" l="1"/>
  <c r="AE136" i="11"/>
  <c r="AF132" i="11"/>
  <c r="AE132" i="11"/>
  <c r="AE129" i="11"/>
  <c r="AF125" i="11"/>
  <c r="AE125" i="11"/>
  <c r="AF114" i="11"/>
  <c r="AE114" i="11"/>
  <c r="AE77" i="11" l="1"/>
  <c r="AE65" i="11" l="1"/>
  <c r="AF105" i="11" l="1"/>
  <c r="AE105" i="11"/>
  <c r="AF28" i="11" l="1"/>
  <c r="AE28" i="11"/>
  <c r="AE21" i="11"/>
  <c r="AF320" i="11" l="1"/>
  <c r="AE320" i="11"/>
  <c r="AF262" i="11" l="1"/>
  <c r="AF15" i="11" l="1"/>
  <c r="AF10" i="11" l="1"/>
  <c r="AE10" i="11"/>
  <c r="AF301" i="11" l="1"/>
  <c r="AE301" i="11"/>
  <c r="AE288" i="11" l="1"/>
  <c r="AF236" i="11" l="1"/>
  <c r="AE236" i="11"/>
  <c r="AF225" i="11"/>
  <c r="AE225" i="11"/>
  <c r="AF278" i="11" l="1"/>
  <c r="AE278" i="11"/>
  <c r="AE274" i="11"/>
  <c r="AF272" i="11" l="1"/>
  <c r="AE272" i="11"/>
  <c r="AE270" i="11"/>
  <c r="AF270" i="11"/>
  <c r="AF268" i="11"/>
  <c r="AE268" i="11"/>
  <c r="AE262" i="11"/>
  <c r="AE15" i="11" l="1"/>
  <c r="AF324" i="11" l="1"/>
  <c r="AE324" i="11"/>
  <c r="AF322" i="11"/>
  <c r="AE322" i="11"/>
  <c r="AF317" i="11"/>
  <c r="AE317" i="11"/>
  <c r="AE315" i="11"/>
  <c r="AF315" i="11"/>
  <c r="AE313" i="11"/>
  <c r="AF309" i="11" l="1"/>
  <c r="AE309" i="11"/>
  <c r="AF307" i="11"/>
  <c r="AE307" i="11"/>
  <c r="AE299" i="11"/>
  <c r="AE295" i="11"/>
  <c r="AE291" i="11" l="1"/>
  <c r="AF285" i="11"/>
  <c r="AE285" i="11"/>
  <c r="AF282" i="11"/>
  <c r="AE282" i="11"/>
  <c r="AF98" i="11" l="1"/>
  <c r="AE98" i="11"/>
  <c r="AF96" i="11"/>
  <c r="AE96" i="11"/>
  <c r="AF93" i="11"/>
  <c r="AE93" i="11"/>
  <c r="AF89" i="11"/>
  <c r="AE89" i="11"/>
  <c r="AE60" i="11" l="1"/>
  <c r="AE54" i="11"/>
  <c r="AE48" i="11"/>
  <c r="AE37" i="11"/>
  <c r="AF5" i="11" l="1"/>
  <c r="AE5" i="11"/>
  <c r="P262" i="11" l="1"/>
  <c r="W262" i="11"/>
  <c r="X262" i="11"/>
  <c r="AF169" i="11"/>
  <c r="AE169" i="11"/>
  <c r="X169" i="11"/>
  <c r="P169" i="11"/>
  <c r="O190" i="11" l="1"/>
  <c r="AF274" i="11" l="1"/>
  <c r="AF256" i="11"/>
  <c r="AE256" i="11"/>
  <c r="AF249" i="11"/>
  <c r="AE249" i="11"/>
  <c r="AF242" i="11"/>
  <c r="AE242" i="11"/>
  <c r="AF231" i="11"/>
  <c r="AE231" i="11"/>
  <c r="AF213" i="11"/>
  <c r="AE213" i="11"/>
  <c r="AF208" i="11"/>
  <c r="AE208" i="11"/>
  <c r="AF171" i="11"/>
  <c r="AE171" i="11"/>
  <c r="AF146" i="11"/>
  <c r="AE146" i="11"/>
  <c r="AF143" i="11"/>
  <c r="AE143" i="11"/>
  <c r="AF77" i="11"/>
  <c r="AF60" i="11"/>
  <c r="AF57" i="11"/>
  <c r="AE57" i="11"/>
  <c r="AE45" i="11"/>
  <c r="W77" i="11"/>
  <c r="W82" i="11"/>
  <c r="X174" i="11"/>
  <c r="W295" i="11"/>
  <c r="W5" i="11"/>
  <c r="O82" i="11"/>
  <c r="W136" i="11"/>
  <c r="W129" i="11"/>
  <c r="W169" i="11"/>
  <c r="W154" i="11"/>
  <c r="X132" i="11"/>
  <c r="W190" i="11"/>
  <c r="P77" i="11"/>
  <c r="W65" i="11"/>
  <c r="O65" i="11"/>
  <c r="X159" i="11"/>
  <c r="W159" i="11"/>
  <c r="X157" i="11"/>
  <c r="W157" i="11"/>
  <c r="X149" i="11"/>
  <c r="W149" i="11"/>
  <c r="P149" i="11"/>
  <c r="O149" i="11"/>
  <c r="X136" i="11"/>
  <c r="P136" i="11"/>
  <c r="W132" i="11"/>
  <c r="X98" i="11"/>
  <c r="W98" i="11"/>
  <c r="X96" i="11"/>
  <c r="W96" i="11"/>
  <c r="X89" i="11"/>
  <c r="W89" i="11"/>
  <c r="O159" i="11"/>
  <c r="O157" i="11"/>
  <c r="X154" i="11"/>
  <c r="O151" i="11"/>
  <c r="W146" i="11"/>
  <c r="O146" i="11"/>
  <c r="X143" i="11"/>
  <c r="W143" i="11"/>
  <c r="O143" i="11"/>
  <c r="X129" i="11"/>
  <c r="X125" i="11"/>
  <c r="W125" i="11"/>
  <c r="O125" i="11"/>
  <c r="P125" i="11"/>
  <c r="X65" i="11"/>
  <c r="P65" i="11"/>
  <c r="X114" i="11"/>
  <c r="W114" i="11"/>
  <c r="W313" i="11"/>
  <c r="W299" i="11"/>
  <c r="W109" i="11"/>
  <c r="W105" i="11"/>
  <c r="W217" i="11"/>
  <c r="W180" i="11"/>
  <c r="P174" i="11"/>
  <c r="X146" i="11"/>
  <c r="X15" i="11"/>
  <c r="W15" i="11"/>
  <c r="P33" i="11"/>
  <c r="X33" i="11"/>
  <c r="X21" i="11"/>
  <c r="O33" i="11"/>
  <c r="W33" i="11"/>
  <c r="W21" i="11"/>
  <c r="O262" i="11"/>
  <c r="X60" i="11"/>
  <c r="W60" i="11"/>
  <c r="X54" i="11"/>
  <c r="W54" i="11"/>
  <c r="P54" i="11"/>
  <c r="O54" i="11"/>
  <c r="W48" i="11"/>
  <c r="X45" i="11"/>
  <c r="W45" i="11"/>
  <c r="W37" i="11"/>
  <c r="O37" i="11"/>
  <c r="W10" i="11"/>
  <c r="O295" i="11"/>
  <c r="X322" i="11"/>
  <c r="W322" i="11"/>
  <c r="X320" i="11"/>
  <c r="W320" i="11"/>
  <c r="O320" i="11"/>
  <c r="X317" i="11"/>
  <c r="X315" i="11"/>
  <c r="W315" i="11"/>
  <c r="P315" i="11"/>
  <c r="O315" i="11"/>
  <c r="X309" i="11"/>
  <c r="W309" i="11"/>
  <c r="O309" i="11"/>
  <c r="W307" i="11"/>
  <c r="X301" i="11"/>
  <c r="W301" i="11"/>
  <c r="X291" i="11"/>
  <c r="W291" i="11"/>
  <c r="W288" i="11"/>
  <c r="O288" i="11"/>
  <c r="X285" i="11"/>
  <c r="W285" i="11"/>
  <c r="X282" i="11"/>
  <c r="W282" i="11"/>
  <c r="X105" i="11"/>
  <c r="P278" i="11"/>
  <c r="O278" i="11"/>
  <c r="W278" i="11"/>
  <c r="X278" i="11"/>
  <c r="X268" i="11"/>
  <c r="W268" i="11"/>
  <c r="P15" i="11"/>
  <c r="O15" i="11"/>
  <c r="X5" i="11"/>
  <c r="X324" i="11"/>
  <c r="W324" i="11"/>
  <c r="W317" i="11"/>
  <c r="X307" i="11"/>
  <c r="X274" i="11"/>
  <c r="W274" i="11"/>
  <c r="X272" i="11"/>
  <c r="W272" i="11"/>
  <c r="X270" i="11"/>
  <c r="W270" i="11"/>
  <c r="X256" i="11"/>
  <c r="W256" i="11"/>
  <c r="X249" i="11"/>
  <c r="W249" i="11"/>
  <c r="X242" i="11"/>
  <c r="W242" i="11"/>
  <c r="X236" i="11"/>
  <c r="W236" i="11"/>
  <c r="X231" i="11"/>
  <c r="W231" i="11"/>
  <c r="X225" i="11"/>
  <c r="W225" i="11"/>
  <c r="X217" i="11"/>
  <c r="X213" i="11"/>
  <c r="W213" i="11"/>
  <c r="X208" i="11"/>
  <c r="W208" i="11"/>
  <c r="X180" i="11"/>
  <c r="W174" i="11"/>
  <c r="X171" i="11"/>
  <c r="W171" i="11"/>
  <c r="X165" i="11"/>
  <c r="W165" i="11"/>
  <c r="X151" i="11"/>
  <c r="W151" i="11"/>
  <c r="X109" i="11"/>
  <c r="X93" i="11"/>
  <c r="W93" i="11"/>
  <c r="X77" i="11"/>
  <c r="X57" i="11"/>
  <c r="W57" i="11"/>
  <c r="X28" i="11"/>
  <c r="W28" i="11"/>
  <c r="X10" i="11"/>
  <c r="P10" i="11"/>
  <c r="P93" i="11"/>
  <c r="O93" i="11"/>
  <c r="O89" i="11"/>
  <c r="P324" i="11"/>
  <c r="O324" i="11"/>
  <c r="O322" i="11"/>
  <c r="P322" i="11"/>
  <c r="P320" i="11"/>
  <c r="O317" i="11"/>
  <c r="P317" i="11"/>
  <c r="O313" i="11"/>
  <c r="P309" i="11"/>
  <c r="O301" i="11"/>
  <c r="P307" i="11"/>
  <c r="O307" i="11"/>
  <c r="P301" i="11"/>
  <c r="P285" i="11"/>
  <c r="P291" i="11"/>
  <c r="O299" i="11"/>
  <c r="O285" i="11"/>
  <c r="O291" i="11"/>
  <c r="P282" i="11"/>
  <c r="O282" i="11"/>
  <c r="P274" i="11"/>
  <c r="O274" i="11"/>
  <c r="P272" i="11"/>
  <c r="O272" i="11"/>
  <c r="P270" i="11"/>
  <c r="O270" i="11"/>
  <c r="O268" i="11"/>
  <c r="P268" i="11"/>
  <c r="P256" i="11"/>
  <c r="O256" i="11"/>
  <c r="P249" i="11"/>
  <c r="O249" i="11"/>
  <c r="O242" i="11"/>
  <c r="P242" i="11"/>
  <c r="O236" i="11"/>
  <c r="P236" i="11"/>
  <c r="P231" i="11"/>
  <c r="O231" i="11"/>
  <c r="P225" i="11"/>
  <c r="O225" i="11"/>
  <c r="P217" i="11"/>
  <c r="O217" i="11"/>
  <c r="P213" i="11"/>
  <c r="O213" i="11"/>
  <c r="P208" i="11"/>
  <c r="O208" i="11"/>
  <c r="O180" i="11"/>
  <c r="P180" i="11"/>
  <c r="O174" i="11"/>
  <c r="P114" i="11"/>
  <c r="O114" i="11"/>
  <c r="O109" i="11"/>
  <c r="P171" i="11"/>
  <c r="O171" i="11"/>
  <c r="O169" i="11"/>
  <c r="P165" i="11"/>
  <c r="O165" i="11"/>
  <c r="P159" i="11"/>
  <c r="P157" i="11"/>
  <c r="P154" i="11"/>
  <c r="O154" i="11"/>
  <c r="P151" i="11"/>
  <c r="P146" i="11"/>
  <c r="P143" i="11"/>
  <c r="O136" i="11"/>
  <c r="O129" i="11"/>
  <c r="P132" i="11"/>
  <c r="P129" i="11"/>
  <c r="O132" i="11"/>
  <c r="O60" i="11"/>
  <c r="O28" i="11"/>
  <c r="P28" i="11"/>
  <c r="P57" i="11"/>
  <c r="O57" i="11"/>
  <c r="P21" i="11"/>
  <c r="O21" i="11"/>
  <c r="P98" i="11"/>
  <c r="O98" i="11"/>
  <c r="O96" i="11"/>
  <c r="P96" i="11"/>
  <c r="P89" i="11"/>
  <c r="P60" i="11"/>
  <c r="O48" i="11"/>
  <c r="O45" i="11"/>
  <c r="P45" i="11"/>
  <c r="P105" i="11"/>
  <c r="O105" i="11"/>
  <c r="O77" i="11"/>
  <c r="O10" i="11"/>
  <c r="O5" i="11"/>
  <c r="P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cristian leonardo mendez ruiz</author>
    <author>Tatiana Rodríguez Maldonado</author>
  </authors>
  <commentList>
    <comment ref="W60" authorId="0" shapeId="0" xr:uid="{00000000-0006-0000-0000-000001000000}">
      <text>
        <r>
          <rPr>
            <b/>
            <sz val="9"/>
            <color indexed="81"/>
            <rFont val="Tahoma"/>
            <family val="2"/>
          </rPr>
          <t xml:space="preserve">Victoria Temprana
</t>
        </r>
      </text>
    </comment>
    <comment ref="AE60" authorId="0" shapeId="0" xr:uid="{00000000-0006-0000-0000-000002000000}">
      <text>
        <r>
          <rPr>
            <b/>
            <sz val="9"/>
            <color indexed="81"/>
            <rFont val="Tahoma"/>
            <family val="2"/>
          </rPr>
          <t xml:space="preserve">Victoria Temprana el 2do trimestre
</t>
        </r>
      </text>
    </comment>
    <comment ref="W129" authorId="0" shapeId="0" xr:uid="{00000000-0006-0000-0000-000003000000}">
      <text>
        <r>
          <rPr>
            <b/>
            <sz val="9"/>
            <color indexed="81"/>
            <rFont val="Tahoma"/>
            <family val="2"/>
          </rPr>
          <t>Victoria Temprana</t>
        </r>
      </text>
    </comment>
    <comment ref="AL149" authorId="0" shapeId="0" xr:uid="{00000000-0006-0000-0000-000004000000}">
      <text>
        <r>
          <rPr>
            <b/>
            <sz val="9"/>
            <color indexed="81"/>
            <rFont val="Tahoma"/>
            <family val="2"/>
          </rPr>
          <t>CLMR: % pendiente de un trimestre anterior</t>
        </r>
      </text>
    </comment>
    <comment ref="AE165" authorId="1" shapeId="0" xr:uid="{00000000-0006-0000-0000-000005000000}">
      <text>
        <r>
          <rPr>
            <sz val="9"/>
            <color indexed="81"/>
            <rFont val="Tahoma"/>
            <family val="2"/>
          </rPr>
          <t>Victoria temprana.</t>
        </r>
      </text>
    </comment>
    <comment ref="AL180" authorId="0" shapeId="0" xr:uid="{00000000-0006-0000-0000-000006000000}">
      <text>
        <r>
          <rPr>
            <b/>
            <sz val="9"/>
            <color indexed="81"/>
            <rFont val="Tahoma"/>
            <family val="2"/>
          </rPr>
          <t>CLMR: meta pendiente de un trimestre anterior</t>
        </r>
      </text>
    </comment>
    <comment ref="AE270" authorId="0" shapeId="0" xr:uid="{00000000-0006-0000-0000-000007000000}">
      <text>
        <r>
          <rPr>
            <b/>
            <sz val="9"/>
            <color indexed="81"/>
            <rFont val="Tahoma"/>
            <family val="2"/>
          </rPr>
          <t>Victoria Temprana</t>
        </r>
      </text>
    </comment>
    <comment ref="AL272" authorId="0" shapeId="0" xr:uid="{00000000-0006-0000-0000-000008000000}">
      <text>
        <r>
          <rPr>
            <b/>
            <sz val="9"/>
            <color indexed="81"/>
            <rFont val="Tahoma"/>
            <family val="2"/>
          </rPr>
          <t>CLMR: meta pendiente de un trimestre anterior</t>
        </r>
      </text>
    </comment>
    <comment ref="AL274" authorId="0" shapeId="0" xr:uid="{00000000-0006-0000-0000-000009000000}">
      <text>
        <r>
          <rPr>
            <b/>
            <sz val="9"/>
            <color indexed="81"/>
            <rFont val="Tahoma"/>
            <family val="2"/>
          </rPr>
          <t>CLMR: meta pendiente de un trimestre anterior</t>
        </r>
      </text>
    </comment>
  </commentList>
</comments>
</file>

<file path=xl/sharedStrings.xml><?xml version="1.0" encoding="utf-8"?>
<sst xmlns="http://schemas.openxmlformats.org/spreadsheetml/2006/main" count="3535" uniqueCount="1564">
  <si>
    <t>AREA DE EFECTIVIDAD</t>
  </si>
  <si>
    <t>OBJETIVO ESTRATÉGICO</t>
  </si>
  <si>
    <t>ESTRATEGIA</t>
  </si>
  <si>
    <t>RESPONSABLE</t>
  </si>
  <si>
    <t>LÍNEA BASE</t>
  </si>
  <si>
    <t>PROCESO</t>
  </si>
  <si>
    <t>Plan de capacitación</t>
  </si>
  <si>
    <t>4 cuerpos recuperados en el año 2019</t>
  </si>
  <si>
    <t>100% de procesos de identificación monitoreados en el año 2019</t>
  </si>
  <si>
    <t>Porcentaje de procesos de identificación monitoreados</t>
  </si>
  <si>
    <t>Conocer proceso de identificación del Instituto Nacional de Medicina Legal y Ciencias Forenses.</t>
  </si>
  <si>
    <t>Plan de monitoreo del proceso de identificación</t>
  </si>
  <si>
    <t>Subdirección Administrativa y Financiera</t>
  </si>
  <si>
    <t>Oficina Asesora de Comunicaciones y Pedagogía</t>
  </si>
  <si>
    <t>Disponibilidad de conocimiento y buenas prácticas</t>
  </si>
  <si>
    <t>Oficina de Gestión del Conocimiento</t>
  </si>
  <si>
    <t>Solidez administrativa</t>
  </si>
  <si>
    <t>Secretaría General</t>
  </si>
  <si>
    <t>Cultura de transparencia</t>
  </si>
  <si>
    <t>Eficiencia presupuestal</t>
  </si>
  <si>
    <t>% recursos ejecutados</t>
  </si>
  <si>
    <t>90% recursos ejecutados a 31 de diciembre de 2019</t>
  </si>
  <si>
    <t>Disponibilidad de recursos técnicos y financieros</t>
  </si>
  <si>
    <t>Cooperación internacional</t>
  </si>
  <si>
    <t>Eficiencia de proyectos de cooperación</t>
  </si>
  <si>
    <t>% de servidores capacitados</t>
  </si>
  <si>
    <t>Plan para uso y apropiación de herramientas colaborativas</t>
  </si>
  <si>
    <t>100% de activos de información críticos asegurados</t>
  </si>
  <si>
    <t>Establecer marco de referencia</t>
  </si>
  <si>
    <t>97% de disponibilidad</t>
  </si>
  <si>
    <t>Identificar servicios de TI requeridos</t>
  </si>
  <si>
    <t>Identificar puntos de encuentro (eficiencia)</t>
  </si>
  <si>
    <t>Identificar campos de acción y responsables</t>
  </si>
  <si>
    <t>Realizar estudios técnicos</t>
  </si>
  <si>
    <t>Elaborar plan de necesidades</t>
  </si>
  <si>
    <t>Establecer prioridades</t>
  </si>
  <si>
    <t>Elaborar plan de adquisiciones</t>
  </si>
  <si>
    <t>Identificar líneas estratégicas</t>
  </si>
  <si>
    <t>Socializar beneficios</t>
  </si>
  <si>
    <t>Socializar avance y casos de éxito</t>
  </si>
  <si>
    <t>Medir avance</t>
  </si>
  <si>
    <t>Elaborar plan de implementación por fases</t>
  </si>
  <si>
    <t xml:space="preserve">Nuevas tecnologías de información </t>
  </si>
  <si>
    <t>2 herramientas de apoyo a la gestión de información identificadas y probadas</t>
  </si>
  <si>
    <t>Identificar necesidades de captura, procesamiento y análisis de información</t>
  </si>
  <si>
    <t>Diseñar y ejecutar pruebas de concepto</t>
  </si>
  <si>
    <t>Analizar resultados</t>
  </si>
  <si>
    <t>Seleccionar herramientas</t>
  </si>
  <si>
    <t>Sistema de seguimiento y evaluación de objetivos</t>
  </si>
  <si>
    <t>Acompañamiento técnico en la formulación de planes.</t>
  </si>
  <si>
    <t>Plan de trabajo</t>
  </si>
  <si>
    <t>100% instrumentos implementados en el 2019</t>
  </si>
  <si>
    <t>Mecanismos de obtención de información actualizada</t>
  </si>
  <si>
    <t>Metodología de rendición de cuentas</t>
  </si>
  <si>
    <t>Oficina Asesora de Planeación</t>
  </si>
  <si>
    <t>Identificar métodos de análisis y herramientas a utilizar por estudio</t>
  </si>
  <si>
    <t>Establecer principios de uso de TIC.</t>
  </si>
  <si>
    <t>Subdirección de Gestión Humana</t>
  </si>
  <si>
    <t>FECHA DE INICIO
(DD-MM-AAAA)</t>
  </si>
  <si>
    <t>FECHA DE TERMINACIÓN
(DD-MM-AAAA)</t>
  </si>
  <si>
    <t>ACTIVIDADES (ACCIONES CLAVES)</t>
  </si>
  <si>
    <t xml:space="preserve">Implementar la herramienta de medición </t>
  </si>
  <si>
    <t xml:space="preserve">Estrategia de Cooperación Internacional </t>
  </si>
  <si>
    <t>Definir la estrategia de cooperación internacional de la UBPD</t>
  </si>
  <si>
    <t>Realizar acompañamiento para la formulación de proyectos a los equipos técnicos de la UBPD</t>
  </si>
  <si>
    <t xml:space="preserve">Presentar los proyectos </t>
  </si>
  <si>
    <t>80% de los recursos de cooperación internacional ejecutados al finalizar 2019</t>
  </si>
  <si>
    <t xml:space="preserve">Plan de posicionamiento internacional </t>
  </si>
  <si>
    <t>Realizar el seguimiento a las acciones de mejora</t>
  </si>
  <si>
    <t>Realizar la socialización de la metodología</t>
  </si>
  <si>
    <t>% de instrumentos de rendición de cuentas implementados</t>
  </si>
  <si>
    <t>Diseñar los mecanismos de obtención de información</t>
  </si>
  <si>
    <t>Presentar de informes narrativos y financieros de proyecto</t>
  </si>
  <si>
    <t>Realizar seguimiento a la implementación de propuestas de ajuste</t>
  </si>
  <si>
    <t>Plan de utilización de bienes y servicios</t>
  </si>
  <si>
    <t xml:space="preserve">Elaborar plan seguridad informática </t>
  </si>
  <si>
    <t xml:space="preserve">Implementar plan seguridad informática </t>
  </si>
  <si>
    <t>Estrategia y Gobierno de TI efectivo</t>
  </si>
  <si>
    <t>Plan de implementación modelo de estrategia y gobierno de TI</t>
  </si>
  <si>
    <t>Implementar primera fase del plan</t>
  </si>
  <si>
    <t>Realizar Talleres</t>
  </si>
  <si>
    <t>Elaborar instrumento para identificar necesidades</t>
  </si>
  <si>
    <t>31/03/2019</t>
  </si>
  <si>
    <t>30/06/2019</t>
  </si>
  <si>
    <t>31/12/2019</t>
  </si>
  <si>
    <t>Diagnosticar el conocimiento de los servidores</t>
  </si>
  <si>
    <t>Revisar el estado del arte en la prospección.</t>
  </si>
  <si>
    <t>Realizar reuniones con funcionarios UBPD para la realización del protocolo.</t>
  </si>
  <si>
    <t>Realizar reuniones de funcionarios UBPD para la realización del protocolo.</t>
  </si>
  <si>
    <t>Elaborar el plan de recuperación evaluando y seleccionando el método.</t>
  </si>
  <si>
    <t>Ejecutar el plan de recuperación</t>
  </si>
  <si>
    <t>Establecer compromisos con el Instituto Nacional de Medicina Legal y Ciencias Forenses.</t>
  </si>
  <si>
    <t>Diseñar el procedimiento de monitoreo del proceso de identificación</t>
  </si>
  <si>
    <t>Implementar el procedimiento de monitoreo del proceso de identificación</t>
  </si>
  <si>
    <t>Validar las identificaciones</t>
  </si>
  <si>
    <t>No de acciones de impulso para la identificación</t>
  </si>
  <si>
    <t>Establecer una efectiva coordinación interinstitucional y con organizaciones de la sociedad civil, a fin de implementar acciones humanitarias y extrajudiciales de búsqueda de personas dadas por desaparecidas</t>
  </si>
  <si>
    <t>Lograr una efectiva gestión institucional que promueva el cumplimiento del mandato misional a través del desarrollo de procesos eficientes, transparentes y oportunos</t>
  </si>
  <si>
    <t>Consolidar metodologías de búsqueda humanitaria y extrajudicial de personas dadas por desaparecidas para el Estado colombiano, incorporando enfoques territorial, diferencial, étnico y de género</t>
  </si>
  <si>
    <t>Consolidar procesos participativos de búsqueda de personas desaparecidas, reconociendo las capacidades y necesidades de las víctimas, sus organizaciones y los pueblos étnicos</t>
  </si>
  <si>
    <t>Contribuir a la satisfacción de los derechos a la verdad y a la reparación de las víctimas, a través de la búsqueda, localización y, en los casos que sea posible, la recuperación, identificación y entrega digna o reencuentro</t>
  </si>
  <si>
    <t>Formular proyecto con algunas instituciones y organizaciones de acuerdo con necesidades urgentes de la UBPD.</t>
  </si>
  <si>
    <t>Elaborar modelo conceptual de registro y sistematización de los datos geográficos.</t>
  </si>
  <si>
    <t>Recolectar cartografía base y catastral.</t>
  </si>
  <si>
    <t>Construir capas de información geográfica útiles para la caracterización de sitios de desaparición de personas y disposición de cuerpos.</t>
  </si>
  <si>
    <t>Socializar el sistema de gestión para su implementación</t>
  </si>
  <si>
    <t>50% del sistema de gestión diseñado e implementado en el 2019</t>
  </si>
  <si>
    <t>Presentar alertas, propuestas de acciones de mejora e informes.</t>
  </si>
  <si>
    <t xml:space="preserve">% de ejecución en los proyectos de Inversión </t>
  </si>
  <si>
    <t xml:space="preserve">Acompañar la programación de recursos en los proyectos de inversión </t>
  </si>
  <si>
    <t>Implementar los mecanismos de obtención de Información.</t>
  </si>
  <si>
    <t>31/09/2019</t>
  </si>
  <si>
    <t xml:space="preserve">% de las actuaciones administrativas publicadas </t>
  </si>
  <si>
    <t>Organización Administrativa de la Planta de Personal.</t>
  </si>
  <si>
    <t>Emitir los actos administrativos para la consolidación de los grupos internos de trabajo</t>
  </si>
  <si>
    <t xml:space="preserve">Planes de Implementación </t>
  </si>
  <si>
    <t>01/02/219</t>
  </si>
  <si>
    <t xml:space="preserve">100% de las actuaciones administrativas publicadas </t>
  </si>
  <si>
    <t>Publicar los actos administrativos de carácter general</t>
  </si>
  <si>
    <t>Publicar los procesos de selección de personal</t>
  </si>
  <si>
    <t>Tablero de Control</t>
  </si>
  <si>
    <t>Definir metas de ejecución presupuestal</t>
  </si>
  <si>
    <t xml:space="preserve">Diseñar el tablero de control </t>
  </si>
  <si>
    <t>Realizar seguimiento y generar alertas</t>
  </si>
  <si>
    <t>Indice del PAC no utilizado</t>
  </si>
  <si>
    <t xml:space="preserve">Plan del servicio al ciudadano </t>
  </si>
  <si>
    <t>Bienes y servicios disponibles</t>
  </si>
  <si>
    <t xml:space="preserve">Procesos Financieros eficientes </t>
  </si>
  <si>
    <t>Servicio efectivo al ciudadano</t>
  </si>
  <si>
    <t>Información documental disponible</t>
  </si>
  <si>
    <t>Expedir el código de integridad e iniciar las actividades de socialización</t>
  </si>
  <si>
    <t>Oficina de Control Interno</t>
  </si>
  <si>
    <t>Sistema de Control Interno implementado</t>
  </si>
  <si>
    <t>Establecer las medidas a realizar para la mitigación de los riesgos antijurídicos. La medida hace referencia a (qué hacer).</t>
  </si>
  <si>
    <t>Determinar el mecanismo idóneo para hacer efectiva la medida. El mecanismo se refiere a (cómo hacerlo).</t>
  </si>
  <si>
    <t>Oficina Asesora Jurídica</t>
  </si>
  <si>
    <t>Realizar priorización del riesgo(s) que va a ser objeto del plan de acción.</t>
  </si>
  <si>
    <t>Realizar la formulación de indicadores de gestión, resultado e impacto de la Política de Prevención.</t>
  </si>
  <si>
    <t xml:space="preserve">Realizar los seguimientos de ley </t>
  </si>
  <si>
    <t>Concertar con la CEV una ruta de intercambio de información</t>
  </si>
  <si>
    <t xml:space="preserve">Elaborar primera versión de protocolo de intercambio de información. </t>
  </si>
  <si>
    <t>31//12/2019</t>
  </si>
  <si>
    <t xml:space="preserve">% de avance en la conformación de equipos territoriales de la UBPD. </t>
  </si>
  <si>
    <t>Plan Estratégico de Comunicaciones y Pedagogía</t>
  </si>
  <si>
    <t>Desarrollar los contenidos, diseñar, diagramar, imprimir y difundir las piezas impresas de la Oficina Asesora de Comunicaciones y Pedagogía.</t>
  </si>
  <si>
    <t>Protocolo intercambio de información CEV -UBPD diseñado</t>
  </si>
  <si>
    <t xml:space="preserve">Plan operativo de las áreas misionales a cargo de la subdirección. </t>
  </si>
  <si>
    <t xml:space="preserve">Mecanismos para la aprobación de planes regionales de búsqueda </t>
  </si>
  <si>
    <t>30-06-2019</t>
  </si>
  <si>
    <t xml:space="preserve">Reencuentros que incorporan enfoques diferenciales, género y psicosocial </t>
  </si>
  <si>
    <t>Diseñar lineamientos de reencuentros con enfoques diferenciales, género y psicosocial</t>
  </si>
  <si>
    <t xml:space="preserve">Entregas dignas que incorporan enfoques diferenciales, género y psicosocial </t>
  </si>
  <si>
    <t>Diseñar lineamientos de entregas dignas con enfoques diferenciales, género y psicosocial</t>
  </si>
  <si>
    <t>3 proyectos de cooperación financiera aprobados a diciembre de 2019</t>
  </si>
  <si>
    <t xml:space="preserve">4 acuerdos de cooperación técnica suscritos </t>
  </si>
  <si>
    <t>Realizar seguimiento de los compromisos adquiridos durante las giras.</t>
  </si>
  <si>
    <t>Realizar firmas de memorandum o acuerdos de entendimiento para asistencia técnica con organismos internacionales.</t>
  </si>
  <si>
    <t xml:space="preserve">Identificar herramientas de seguimiento y evaluación de proyectos </t>
  </si>
  <si>
    <t>Información disponible y segura para la búsqueda</t>
  </si>
  <si>
    <t xml:space="preserve">Protección y confidencialidad de la información. </t>
  </si>
  <si>
    <t xml:space="preserve">Diseñar protocolos para garantizar la protección y confidencialidad de la información. </t>
  </si>
  <si>
    <t>Diseñar Plan de Monitoreo.</t>
  </si>
  <si>
    <t xml:space="preserve">Inventario y organización de información de otras instituciones y de organizaciones. </t>
  </si>
  <si>
    <t>Gestionar y formalizar acceso a la información de otras instituciones y organizaciones.</t>
  </si>
  <si>
    <t>1 Plan Nacional de Búsqueda formulado</t>
  </si>
  <si>
    <t xml:space="preserve">Diseñar herramientas de recolección de información primaria. </t>
  </si>
  <si>
    <t xml:space="preserve">Implementar herramientas de recolección de información primaria. </t>
  </si>
  <si>
    <t>Subdirección de Gestión de la Información para la Búsqueda</t>
  </si>
  <si>
    <t xml:space="preserve">Elaborar diagnóstico sobre calidad de información disponible en bases de datos de otras instituciones. </t>
  </si>
  <si>
    <t>Elaborar propuesta conceptual de variables (modelo entidad-relación) para sistema de información.</t>
  </si>
  <si>
    <t xml:space="preserve">Registrar la información primaria y secundaria recibida por la UBPD en los instrumentos diseñados. </t>
  </si>
  <si>
    <t xml:space="preserve">Realizar control de calidad de los registros de información primaria y secundaria. </t>
  </si>
  <si>
    <t>31/12/20019</t>
  </si>
  <si>
    <t>2 documentos sobre el universo de personas dadas por desaparecidas en el contexto y en razón del conflicto armado elaborados en doce meses.</t>
  </si>
  <si>
    <t xml:space="preserve">Elaborar propuesta de metodología a partir de sistematizaciones realizadas por otras instituciones y organizaciones. </t>
  </si>
  <si>
    <t xml:space="preserve">Revisar y ajustar metodología. </t>
  </si>
  <si>
    <t xml:space="preserve">Valorar subregistro de información. </t>
  </si>
  <si>
    <t xml:space="preserve">Elaborar documento de avance sobre el establecimiento del universo de personas dadas por desaparecidas en el contexto y en razón del conflicto armado. </t>
  </si>
  <si>
    <t>1/11/20019</t>
  </si>
  <si>
    <t xml:space="preserve">1 documento sobre el registro nacional de fosas, cementerios ilegales y sepulturas elaborado. </t>
  </si>
  <si>
    <t xml:space="preserve">Elaborar propuesta metodológica para la elaboración del Registro Nacional de Fosas, Cementerios ilegales y Sepulturas. </t>
  </si>
  <si>
    <t xml:space="preserve">Planes regionales de búsqueda
</t>
  </si>
  <si>
    <t>Guía metodológica de investigación para la búsqueda</t>
  </si>
  <si>
    <t xml:space="preserve">Elaborar documentos de alistamiento y entregar a Subdirección General Técnica y Territorial. </t>
  </si>
  <si>
    <t xml:space="preserve">Socialización de documentos de alistamiento con actores clave. </t>
  </si>
  <si>
    <t>Organizar información disponible para identificar líneas de investigación para la búsqueda.</t>
  </si>
  <si>
    <t xml:space="preserve">Analizar información disponible para proponer rutas de investigación para la búsqueda. </t>
  </si>
  <si>
    <t>Localización para la búsqueda.</t>
  </si>
  <si>
    <t xml:space="preserve">Complementar información para establecer hipótesis de localización para la búsqueda. </t>
  </si>
  <si>
    <t xml:space="preserve">Formular planes regionales de búsqueda con hipótesis de localización. </t>
  </si>
  <si>
    <t>1 matriz de caracterización de actores regionales clave debidamente diligenciada</t>
  </si>
  <si>
    <t xml:space="preserve">Diseño de instrumento para caracterización de actores territoriales clave para la labor de la UBPD en territorio. </t>
  </si>
  <si>
    <t xml:space="preserve">Realizar encuentros o participar de espacios informativos y pedagógicos sobre el mandato de la UBPD. </t>
  </si>
  <si>
    <t>Redactar documento mensual de contexto y situación de riesgo territorial siguiendo las orientaciones del asesor de protección de la UBPD</t>
  </si>
  <si>
    <t>Plan de mitigación del riesgo antijurídico</t>
  </si>
  <si>
    <t>Remitir la Política de Prevención a la Agencia Nacional de Defensa Jurídica del Estado - ANDJE para aprobación metodológica.</t>
  </si>
  <si>
    <t>Identificar necesidades de información al interior de la UBPD relacionadas con el mandato de la CEV</t>
  </si>
  <si>
    <t>Realizar seguimiento y retroalimentación a la gestión de las áreas misionales</t>
  </si>
  <si>
    <t xml:space="preserve">Identificación de riesgos e implementación de acciones de mejora en la gestión de las áreas misionales </t>
  </si>
  <si>
    <t>Diseñar el esquema de funcionamiento y los planes de acción de las territoriales de la UBPD</t>
  </si>
  <si>
    <t>Definir focalización territorial de la UBPD</t>
  </si>
  <si>
    <t>Acompañar el proceso de adecuación de las sedes territoriales de la UBPD</t>
  </si>
  <si>
    <t xml:space="preserve">Realizar seguimiento y retroalimentación a la gestión de las territoriales de la UBPD. </t>
  </si>
  <si>
    <t>Plan operativo para la conformación, funcionamiento y seguimiento de las sedes territoriales de la UBPD</t>
  </si>
  <si>
    <t xml:space="preserve">Realizar asesorías a familias o personas sobre el mandato de la UBPD, de acuerdo a los lineamientos de la dirección de participación. </t>
  </si>
  <si>
    <t xml:space="preserve">Acompañar el proceso de devolución de información sobre su caso a familias o personas que han participado en procesos de búsqueda con la UBPD. </t>
  </si>
  <si>
    <t xml:space="preserve">Diseñar metodología de los espacios colectivos en coordinación con la dirección de participación de la UBPD. </t>
  </si>
  <si>
    <t>Convocar a familiares o personas participantes del proceso</t>
  </si>
  <si>
    <t>Prospecciones con instituciones que posean tecnología</t>
  </si>
  <si>
    <t>Recuperaciones con instituciones que posean tecnología</t>
  </si>
  <si>
    <t>Revisar el estado del arte en la recuperación.</t>
  </si>
  <si>
    <t>Redactar el protocolo de recuperación.</t>
  </si>
  <si>
    <t>Socializar el protocolo de recuperación.</t>
  </si>
  <si>
    <t xml:space="preserve">Proceso de identificación con el Instituto Nacional de Medicina Legal y Ciencias Forenses revisado </t>
  </si>
  <si>
    <t>Principio de publicidad aplicado</t>
  </si>
  <si>
    <t>Evaluar los mecanismos adoptados</t>
  </si>
  <si>
    <t>90% de la ejecución presupuestal de los recursos de Inversión</t>
  </si>
  <si>
    <t xml:space="preserve">Realizar los encuentros colectivos en coordinación con la dirección de participación de la UBPD. </t>
  </si>
  <si>
    <t>3 métodos de prospección valorados en el año 2019</t>
  </si>
  <si>
    <t>Elaborar el protocolo de prospección.</t>
  </si>
  <si>
    <t>Socializar el protocolo de prospección.</t>
  </si>
  <si>
    <t>3 métodos de recuperación valorados en 2019</t>
  </si>
  <si>
    <t>100 % de Grupos internos de trabajo consolidados</t>
  </si>
  <si>
    <t>% de Grupos internos de trabajo consolidados</t>
  </si>
  <si>
    <t xml:space="preserve">Asignar la coordinación mediante actos administrativos individuales </t>
  </si>
  <si>
    <t>Realizar campañas de sensibilización sobre el fomento del autocontrol</t>
  </si>
  <si>
    <t xml:space="preserve">Evaluar las dependencias en la implementación del sistema. </t>
  </si>
  <si>
    <t>Presentar informes de ley, competencia de la Oficina de Control Interno</t>
  </si>
  <si>
    <t xml:space="preserve">Código de integridad </t>
  </si>
  <si>
    <t>Sistema de Seguridad y Salud en el trabajo</t>
  </si>
  <si>
    <t xml:space="preserve">Formular e implementar el sistema de seguridad y salud en el trabajo </t>
  </si>
  <si>
    <t xml:space="preserve"> Necesidades de estudios e investigaciones con mirada transversal en la UBPD</t>
  </si>
  <si>
    <t xml:space="preserve">Implementar el instrumento </t>
  </si>
  <si>
    <t xml:space="preserve">Plan de trabajo por investigación/estudio </t>
  </si>
  <si>
    <t>Elaborar plan de trabajo detallado por estudio</t>
  </si>
  <si>
    <t>Hacer seguimiento a los planes detallados de estudio</t>
  </si>
  <si>
    <t>No. de herramientas de comunicación interna</t>
  </si>
  <si>
    <t>Construir la Política Institucional de Comunicaciones y Pedagogía</t>
  </si>
  <si>
    <t>4 herramientas de comunicación interna</t>
  </si>
  <si>
    <t>Estrategia de Cultura Institucional</t>
  </si>
  <si>
    <t>Instalar y actualizar periódicamente la cartelera de las sedes de la UBPD</t>
  </si>
  <si>
    <t xml:space="preserve">Compartir periódicamente información de interés para los servidores de la UBPD a través del correo electrónico. </t>
  </si>
  <si>
    <t>Herramientas de Planeación disponibles</t>
  </si>
  <si>
    <t>Sistema de Gestión implementado</t>
  </si>
  <si>
    <t xml:space="preserve"> Proyectos de inversión</t>
  </si>
  <si>
    <t>Transparencia institucional</t>
  </si>
  <si>
    <t xml:space="preserve">Temas de formación necesarios para el personal de la UBPD </t>
  </si>
  <si>
    <t>31/03/21019</t>
  </si>
  <si>
    <t>01/04/219</t>
  </si>
  <si>
    <t>12 prospecciones realizadas en el año 2019</t>
  </si>
  <si>
    <t>Casos con mayor facilidad de prospección</t>
  </si>
  <si>
    <t>Temas de formación necesarios para el personal de la UBPD encargado</t>
  </si>
  <si>
    <t>Solicitar el plan de formación</t>
  </si>
  <si>
    <t>Casos con mayor probabilidad de recuperación</t>
  </si>
  <si>
    <t>Analizar la información de los casos revisados en la prueba piloto</t>
  </si>
  <si>
    <t>Proponer acciones para impulsar la identitificación de los casos revisados en la prueba piloto</t>
  </si>
  <si>
    <t>Coordinar el alistamiento requerido para el funcionamiento de las áreas misionales a cargo de la subdirección</t>
  </si>
  <si>
    <t>Diseñar e implementar proceso de alistamiento para los equipos territoriales de la UBPD</t>
  </si>
  <si>
    <t xml:space="preserve">Coordinar con el asesor definido para tal fin, la implementación de esquemas de protección para los equipos territoriales, de las familias y personas participantes del proceso con la UBPD. </t>
  </si>
  <si>
    <t xml:space="preserve">Formulación de Plan Nacional de Búsqueda </t>
  </si>
  <si>
    <t>Mecanismos de Articulación Interinstitucional.</t>
  </si>
  <si>
    <t>Plan Nacional de Búsqueda.</t>
  </si>
  <si>
    <t>Consolidación territorial para la búsqueda</t>
  </si>
  <si>
    <t>Interlocución Territorial</t>
  </si>
  <si>
    <t>Consolidación territorial para la Búsqueda</t>
  </si>
  <si>
    <t>Información Territorial Disponible</t>
  </si>
  <si>
    <t>Participar de los escenarios de alistamiento dispuestos por la UBPD</t>
  </si>
  <si>
    <t xml:space="preserve">Apoyo al proceso de documentación de fuentes territoriales </t>
  </si>
  <si>
    <t>Conformación de un Comité Internacional de apoyo a la UBPD</t>
  </si>
  <si>
    <t>Evaluar la estrategia de construcción de una red de apoyo con organizaciones de la sociedad civil.</t>
  </si>
  <si>
    <t>Emitir lineamientos para una efectiva programación del Plan Anual de Caja -PAC</t>
  </si>
  <si>
    <t>Diseñar el Plan Institucional de Gestión Ambiental.</t>
  </si>
  <si>
    <t>Desarrollar habilidades para el uso de herramientas colaborativas</t>
  </si>
  <si>
    <t xml:space="preserve">Mesa de trabajo con otras dependencias para impulsar el uso y apropiación </t>
  </si>
  <si>
    <t>Marco de referencia y buenas prácticas</t>
  </si>
  <si>
    <t>Elaborar el PETI</t>
  </si>
  <si>
    <t>Encuentros con sociedad civil para recolección de insumos para Plan Nacional de Búsqueda</t>
  </si>
  <si>
    <t>Propuesta Plan Nacional de Búsqueda</t>
  </si>
  <si>
    <t>Herramientas de recolección de información</t>
  </si>
  <si>
    <t>Variables para sistematización de información.</t>
  </si>
  <si>
    <t>Repositorio central de información</t>
  </si>
  <si>
    <t>Sistema de información geográfica</t>
  </si>
  <si>
    <t>Capítulo especial del Registro Nacional de Desaparecidos</t>
  </si>
  <si>
    <t>Coordinar acciones con el Instituto Nacional de Medicina Legal y Ciencias Forenses para la creación del capítulo especial del Registro Nacional de Desaparecidos</t>
  </si>
  <si>
    <t>Reglas para la interoperabilidad e inclusión de información en el Registro Único de Víctimas</t>
  </si>
  <si>
    <t>Coordinar acciones con la Unidad para la Atención y Reparación Integral a las Víctimas (UARIV) para el establecimiento de reglas para la interoperabilidad en el Registro Único de Víctimas</t>
  </si>
  <si>
    <t>Establecer reglas para la interoperabilidad en el Registro Único de Víctimas</t>
  </si>
  <si>
    <t>Diseñar mecanismos automatizados de intercambio de información entre la UBPD y la UARIV</t>
  </si>
  <si>
    <t>Metodología para el establecimiento del universo de personas dadas por desaparecidas en el contexto y en razón del conflicto armado.</t>
  </si>
  <si>
    <t xml:space="preserve">Universo de personas dadas por desaparecidas en el contexto y en razón del conflicto armado. </t>
  </si>
  <si>
    <t>Metodología para el Registro Nacional de Fosas, Cementerios ilegales y Sepulturas.</t>
  </si>
  <si>
    <t xml:space="preserve">8 planes con hipótesis de localización durante el año 2019 </t>
  </si>
  <si>
    <t xml:space="preserve">Planes de investigación para la búsqueda </t>
  </si>
  <si>
    <t>Métodos de prospección adecuados</t>
  </si>
  <si>
    <t>Métodos de recuperación adecuados</t>
  </si>
  <si>
    <t>Calidad del proceso de identificación de los cuerpos recuperados por la UBPD</t>
  </si>
  <si>
    <t>Casos Enrutados.</t>
  </si>
  <si>
    <t>Productividad digital</t>
  </si>
  <si>
    <t>Seguridad informática</t>
  </si>
  <si>
    <t>Disponibilidad de servicios TI</t>
  </si>
  <si>
    <t>100% de avance en el diseño e implementación de los mecanismos de planeación y seguimiento a la operación misional de las áreas a cargo de la subdirección técnica y territorial</t>
  </si>
  <si>
    <t>Diseñar sistema de seguimiento y evaluación</t>
  </si>
  <si>
    <t>Implementar sistema de seguimiento y evaluación</t>
  </si>
  <si>
    <t>Diseñar metodología para la elaboración de planes</t>
  </si>
  <si>
    <t>Realizar acompañamiento en la formulación de planes</t>
  </si>
  <si>
    <t>Revisar la ejecución de recursos y el cumplimiento de metas para generar las alertas correspondientes al avance presentado.</t>
  </si>
  <si>
    <t xml:space="preserve">Realizar monitoreos de protección y confidencialidad de la información. </t>
  </si>
  <si>
    <t>Eficiente programación del PAC</t>
  </si>
  <si>
    <t>Cooperación internacional y alianzas</t>
  </si>
  <si>
    <t>No aplica</t>
  </si>
  <si>
    <t>Gestión del Conocimiento</t>
  </si>
  <si>
    <t>Gestión de Tecnologías de la Información y Comunicaciones</t>
  </si>
  <si>
    <t>Comunicación estratégica y pedagogía</t>
  </si>
  <si>
    <t>Direccionamiento y Planeación Estratégica</t>
  </si>
  <si>
    <t xml:space="preserve">Gestión jurídica
</t>
  </si>
  <si>
    <t xml:space="preserve">Coordinación interinstitucional
</t>
  </si>
  <si>
    <t>Implementación de acciones humanitarias de búsqueda</t>
  </si>
  <si>
    <t>Direccionamiento y planeación estratégica</t>
  </si>
  <si>
    <t>Coordinación interinstitucional</t>
  </si>
  <si>
    <t>Participación (Interlocución e interacción permanente) de las familias y/o pueblos étnicos a los que pertenecen las víctimas en los procesos de búsqueda</t>
  </si>
  <si>
    <t xml:space="preserve">Gestión de protección de las víctimas y declarantes
</t>
  </si>
  <si>
    <t>Implementación de acciones humanitarias de búsqueda
(Recolección, análisis y contexto de la información y localización)</t>
  </si>
  <si>
    <t xml:space="preserve">Implementación de acciones humanitarias de búsqueda
(Contacto con personas vivas, o prospección y recuperación de cuerpos)
</t>
  </si>
  <si>
    <t>Implementación de acciones humanitarias de búsqueda
(Contacto con personas vivas, o prospección y recuperación de cuerpos)</t>
  </si>
  <si>
    <t>Implementación de acciones humanitarias de búsqueda
(Identificación)</t>
  </si>
  <si>
    <t>Implementación de acciones humanitarias de búsqueda (Entrega Digna o Reencuentro)</t>
  </si>
  <si>
    <t>Gestión humana</t>
  </si>
  <si>
    <t xml:space="preserve"> -Servicio al ciudadano
 - Gestión humana
- Gestión documental</t>
  </si>
  <si>
    <t>Gestión administrativa y financiera</t>
  </si>
  <si>
    <t xml:space="preserve"> - Gestión contractual
- Gestión de talento humano</t>
  </si>
  <si>
    <t>Servicio al ciudadano</t>
  </si>
  <si>
    <t>Gestión documental</t>
  </si>
  <si>
    <t xml:space="preserve">Implementación de acciones humanitarias de búsqueda
</t>
  </si>
  <si>
    <t>1 Accion de Impulso implementada para la identificación</t>
  </si>
  <si>
    <t>1 documento de política de prevención del daño antijurídico</t>
  </si>
  <si>
    <t>Herramientas de medición del clima laboral implementada</t>
  </si>
  <si>
    <t>1 Herramienta de medición del clima laboral Implementada</t>
  </si>
  <si>
    <t xml:space="preserve">Diseñar mecanismos automatizados de intercambio de información entre la UBPD y el INMLCF </t>
  </si>
  <si>
    <t>Definir parámetros de estructura del capítulo especial del Registro Nacional de Desaparecidos teniendo en cuenta los enfoques diferenciales</t>
  </si>
  <si>
    <t>Fortalecimiento del conocimiento en la UBPD</t>
  </si>
  <si>
    <t>Diseñar la Estrategia de Gestión de Conocimiento</t>
  </si>
  <si>
    <t>Diseño del plan de acción para 2020</t>
  </si>
  <si>
    <t>Desarrollar contenidos pedagógicos y comunicativos con las diferentes dependencias de la UBPD y difundirlos con público externo.</t>
  </si>
  <si>
    <t>Desarrollar contenidos pedagógicos y comunicativos con las diferentes dependencias de la UBPD y difundirlos con el público interno.</t>
  </si>
  <si>
    <t>Medición del Clima Laboral.</t>
  </si>
  <si>
    <t>Dirección de Participación, contacto con las víctimas y Enfoques diferenciales</t>
  </si>
  <si>
    <t>Efectiva Comunicación estratégica y pedagogía</t>
  </si>
  <si>
    <t>Realizar evaluación al Modelo de Gestión y Desempeño adoptado por la UBPD.</t>
  </si>
  <si>
    <t>1 Proyecto de cooperación Internacional aprobado durante el último trimestre de 2018</t>
  </si>
  <si>
    <t>117% de cumplimiento de las metas de la UBPD programadas en el plan de acción 2018</t>
  </si>
  <si>
    <t xml:space="preserve">193 personas con asesoramiento para la búsqueda a diciembre de 2018 </t>
  </si>
  <si>
    <t>100% de Grupos internos de trabajo consolidados a diciembre de 2018</t>
  </si>
  <si>
    <t>43,23% de los recursos ejecutados durante el año 2018</t>
  </si>
  <si>
    <t>Personas que participan en el proceso de búsqueda</t>
  </si>
  <si>
    <t>31/06/2019</t>
  </si>
  <si>
    <t>Diseñar estrategia metodológica del proceso de participación con enfoques diferenciales, género y psicosocial</t>
  </si>
  <si>
    <t xml:space="preserve">Realizar el 100% de reencuentros solicitados </t>
  </si>
  <si>
    <t>Mínimo 5 organizaciones de la sociedad civil apoyan los procesos de participación en la búsqueda.</t>
  </si>
  <si>
    <t>Diseñar la estrategia metodológica de evaluación de la conformación de la red de apoyo</t>
  </si>
  <si>
    <t>Formular la estrategia metodológica para la construcción de una red de apoyo.</t>
  </si>
  <si>
    <t>Implementar la estrategia de conformación de la red de apoyo con organizaciones de la sociedad civil.</t>
  </si>
  <si>
    <t>Conocimiento y contacto establecido con organizaciones de la sociedad civil</t>
  </si>
  <si>
    <t>Diseñar metodologías de trabajo con organizaciones de la sociedad civil de acuerdo a sus particularidades</t>
  </si>
  <si>
    <t>Implementar metodologías de trabajo con organizaciones de la sociedad civil de acuerdo a sus particularidades</t>
  </si>
  <si>
    <t>Evaluar metodologías de trabajo con organizaciones de la sociedad civil de acuerdo a sus particularidades</t>
  </si>
  <si>
    <t>Proyectos de Inversión aprobados</t>
  </si>
  <si>
    <t>Metas del plan de acción cumplidas</t>
  </si>
  <si>
    <t>Sistema de gestión diseñado e implementado</t>
  </si>
  <si>
    <t xml:space="preserve">2 proyectos de inversión aprobados </t>
  </si>
  <si>
    <t xml:space="preserve">Realizar periódicamente el Plan de Contenidos de la UBPD </t>
  </si>
  <si>
    <t>Construir e implementar la Estrategia de Comunicación y Pedagogía Digital.</t>
  </si>
  <si>
    <t xml:space="preserve">Gestionar acercamientos y espacios con medios y periodistas con el fin de posicionar, visibilizar y hacer pedagogía del proceso de búsqueda humanitaria y extrajudicial que adelanta la UBPD. </t>
  </si>
  <si>
    <t>Construir y socializar periódicamente el boletín interno</t>
  </si>
  <si>
    <t>85 acciones de pedagogía y comunicación estratégica externa</t>
  </si>
  <si>
    <t xml:space="preserve"> % de reencuentros realizados</t>
  </si>
  <si>
    <t>Solicitudes de bienes y servicios atendidas</t>
  </si>
  <si>
    <t>Atender el 90% de las solicitudes de bienes y servicios en el 2019</t>
  </si>
  <si>
    <t>Política de servicio al ciudadano formulada</t>
  </si>
  <si>
    <t>Presentar el PIGA para su aprobación</t>
  </si>
  <si>
    <t>Socializar la política de servicio al ciudadano.</t>
  </si>
  <si>
    <t>-</t>
  </si>
  <si>
    <t>90% de las metas del plan de acción cumplidas durante el 2019</t>
  </si>
  <si>
    <t>Red de apoyo construida con organizaciones de la sociedad civil para el fortalecimiento de los procesos de participación en la búsqueda</t>
  </si>
  <si>
    <t>Acompañamiento técnico en la aprobación de proyectos de inversión</t>
  </si>
  <si>
    <t>Diagnosticar fuentes y políticas de cooperación internacional para Colombia para la Implementación de los Acuerdos de Paz</t>
  </si>
  <si>
    <t xml:space="preserve">Elaboración de políticas </t>
  </si>
  <si>
    <t>Crear de un sistema de alertas y propuestas de ajuste presupuestal o programático por proyecto</t>
  </si>
  <si>
    <t>Implementar de herramientas de seguimiento y evaluación de proyectos</t>
  </si>
  <si>
    <t>implementación de soluciones propuestas a obstáculos identificados</t>
  </si>
  <si>
    <t>Socializar la importancia de las acciones de gestión conocimiento</t>
  </si>
  <si>
    <t>Prácticas de gestión del conocimiento implementadas</t>
  </si>
  <si>
    <t>Gestionar Prácticas de conocimiento</t>
  </si>
  <si>
    <t>Evaluar las prácticas de gestión del conocimiento</t>
  </si>
  <si>
    <t>Servicios apoyados en tecnologías de la información y comunicaciones</t>
  </si>
  <si>
    <t>Pruebas de concepto de herramientas para apoyar las metodologías de búsqueda</t>
  </si>
  <si>
    <t xml:space="preserve">Gestionar, publicar y divulgar la información mínima requerida de la Entidad de acuerdo a los estándares de Transparencia y Acceso a la Información que establece la norma y lo relacionado con la rendición de cuantas </t>
  </si>
  <si>
    <t xml:space="preserve">Realizar estrategias que incidan en la movilización de líderes de opinión, políticos y personajes públicos, alrededor de la búsqueda de desaparecidos. </t>
  </si>
  <si>
    <t>Realizar el monitoreo y análisis del impacto de las acciones de pedagogía y comunicación estratégíca en medios y en redes sociales</t>
  </si>
  <si>
    <t>Implementar acciones que permitan dar cumplimiento a las políticas lideradas por la Oficina Asesora de Planeación</t>
  </si>
  <si>
    <t>Realizar seguimiento y evaluación de la estrategia</t>
  </si>
  <si>
    <t>Formular el plan y las estrategias de capacitación</t>
  </si>
  <si>
    <t xml:space="preserve">Realizar seguimiento cuatrimestral a mapa de riesgos de corrupción e institucional y efectividad de los controles. </t>
  </si>
  <si>
    <t xml:space="preserve">Evaluación Independiente y seguimiento a la Gestión de la Entidad. </t>
  </si>
  <si>
    <t>Gestión Ambiental efectiva</t>
  </si>
  <si>
    <t xml:space="preserve">Plan de gestión ambiental </t>
  </si>
  <si>
    <t>Plan anual de auditorías y seguimiento</t>
  </si>
  <si>
    <t xml:space="preserve"> 100 % de la implementación del Plan anual de auditorías</t>
  </si>
  <si>
    <t xml:space="preserve">Realizar las auditorías de gestión </t>
  </si>
  <si>
    <t>política de prevención del daño antijurídico elaborada</t>
  </si>
  <si>
    <t xml:space="preserve">Planeación y Seguimiento Estratégico. </t>
  </si>
  <si>
    <t>1 documento de lineamientos para construcción de plan nacional de búsqueda presentado a la Dirección General de la UBPD.</t>
  </si>
  <si>
    <t xml:space="preserve">Implementación de ruta de relacionamiento con actores territoriales para la búsqueda </t>
  </si>
  <si>
    <t>Implementar la estrategia metodológica del proceso de participación con enfoques diferenciales, género y psicosocial por parte de los Equipos territoriales y el equipo nacional de participación.</t>
  </si>
  <si>
    <t>Realizar monitoreo constante al contexto y situación de riesgo territorial en articulación con asesor de protección de la UBPD</t>
  </si>
  <si>
    <t xml:space="preserve">Contratar consultoría experta para definir el alcance y diseñar el sistema de información que permita la gestión y análisis de la información para la búsqueda. </t>
  </si>
  <si>
    <t>Incorporar los lineamientos provenientes de pueblos indígenas en torno a la visibilización de estas poblaciones en el universo de personas dadas por desaparecidas.</t>
  </si>
  <si>
    <t xml:space="preserve">Cruzar y depurar fuentes de información disponibles. </t>
  </si>
  <si>
    <t>Elaborar la matriz preliminar para el registro de la información</t>
  </si>
  <si>
    <t>Analizar la información de cada caso</t>
  </si>
  <si>
    <t>Identificar las temáticas del Plan de formación</t>
  </si>
  <si>
    <t>Instrumento de diagnóstico analizado</t>
  </si>
  <si>
    <t>Elaborar los diagnósticos de las políticas</t>
  </si>
  <si>
    <t xml:space="preserve">Diseñar el instrumento para el diagnóstico de los casos en los cuales el cadáver continúa sin identificar </t>
  </si>
  <si>
    <t>Realizar prueba piloto del instrumento con casos de dos departamentos del país</t>
  </si>
  <si>
    <t>Diseñar la estrategia metodológica de evaluación del proceso de participación con enfoques diferenciales, género y psicosocial por parte de los Equipos territoriales y el equipo nacional de participación.</t>
  </si>
  <si>
    <t>Evaluar la estrategia metodológica del proceso de participación con enfoques diferenciales, género y psicosocial por parte de los Equipos territoriales y el equipo nacional de participación.</t>
  </si>
  <si>
    <t>Lineamientos de participación y enfoques diferenciales, género y psicosocial construidos de manera articulada con la subdirección técnica y territorial</t>
  </si>
  <si>
    <t>Estrategia metodológica del proceso de participación con enfoques diferenciales, género y psicosocial de manera articulada con la Subdirección General Técnica y Territorial</t>
  </si>
  <si>
    <t xml:space="preserve">Vincular la planta de personal en las diferentes áreas </t>
  </si>
  <si>
    <t>94,3% de las actuaciones administrativas publicadas en la página web durante el último trimestre de 2018</t>
  </si>
  <si>
    <t xml:space="preserve">Publicar los procesos de contratación </t>
  </si>
  <si>
    <t>Realizar el seguimiento periódico de los compromisos y la respectiva programación del Plan Anual de Caja</t>
  </si>
  <si>
    <t>Realizar la planeación del PAC de acuerdo con las comisiones de las cuales se tenga confirmación efectiva para reducir el índice de no ejecución de los viáticos</t>
  </si>
  <si>
    <t>Diseñar e implementar lineamientos e instrumentos para la programación de necesidades de Bienes y servicios para la eleboración del Plan Anual de Adquisiciones - PAA.</t>
  </si>
  <si>
    <t>Plan Estratégico de Gestión Humana Implementado</t>
  </si>
  <si>
    <t xml:space="preserve">Plan anual del Vacantes y previsión de recursos humanos </t>
  </si>
  <si>
    <t>Revisar los perfiles y funciones de acuerdo con el requerimiento del área donde está la vacante y determinar los recursos necesarios para su provisión.</t>
  </si>
  <si>
    <t xml:space="preserve">Realizar un Diagnóstico para la construcción de valores </t>
  </si>
  <si>
    <t>Definir la herramienta de medición</t>
  </si>
  <si>
    <t>Realizar el análisis y comunicación de resultados.</t>
  </si>
  <si>
    <r>
      <t>Participar en el diseño e implementación de la estrategia de rendición de cuentas de acuerdo con los estándares de transparencia.</t>
    </r>
    <r>
      <rPr>
        <sz val="12"/>
        <color rgb="FFFF0000"/>
        <rFont val="Arial Narrow"/>
        <family val="2"/>
      </rPr>
      <t xml:space="preserve"> </t>
    </r>
  </si>
  <si>
    <t>Implementar la estrategia círculo de saberes creativos (Elaboración del documento, desarrollo de los encuentros con familiares y organizaciones, construcción de productos pedagógicos, elaboración del Micrositio, realización del Encuentro de Intercambio Territorial).</t>
  </si>
  <si>
    <t>Realizar seguimiento a las actividades establecidas en el plan de acción de acuerdo con el riesgo priorizado para lograr la mitigación</t>
  </si>
  <si>
    <t>Desarrollar diagnosticos preliminares con casos de las Direcciones Regionales del INMLyCF</t>
  </si>
  <si>
    <t xml:space="preserve"> Máximo un 6% de PAC no utilizado</t>
  </si>
  <si>
    <t>Procesos colectivos de asesoría, orientación, apoyo y fortalecimiento a familiares en territorio</t>
  </si>
  <si>
    <t xml:space="preserve">Documentar los resultados del proceso colectivo de asesoría, orientación, apoyo y fortalecimiento cumpliendo los parametros de la dirección de participación. </t>
  </si>
  <si>
    <t xml:space="preserve">Procesos de asesoría, orientación, apoyo y fortalecimiento a familiares en el proceso territorial de búsqueda de personas desaparecidas. </t>
  </si>
  <si>
    <t xml:space="preserve">Identificar y caracterizar familias o personas para realizar asesoría, orientación, apoyo y fortalecimiento durante el proceso de búsqueda. </t>
  </si>
  <si>
    <t>Realizar proceso de asesoría, orientación, apoyo y fortalecimiento a familias o personas que han iniciado proceso con la UBPD, de acuerdo a lineamientos de la dirección de participación de la UBPD</t>
  </si>
  <si>
    <t xml:space="preserve">Documentar el proceso de asesoría, orientación, apoyo y fortalecimiento cumpliendo los parámetros de la dirección de participación. </t>
  </si>
  <si>
    <t xml:space="preserve">Personas con asesoría, orientación, apoyo y fortalecimiento adecuado
</t>
  </si>
  <si>
    <t>Personas con asesoría, orientación, apoyo y fortalecimiento adecuado</t>
  </si>
  <si>
    <t>META ANUAL 2019</t>
  </si>
  <si>
    <t>1. Ficha presentada aprobada por el Programa VISP de la OIM.</t>
  </si>
  <si>
    <t xml:space="preserve">Se aprobó por parte de USAID a través del Programa de Fortalecimiento Institucional para las Víctimas (VISP) de la OIM, ficha para el desarrollo de encuentros con familiares de víctimas y diversas organizaciones del nivel nacional y regional, para recopilar información e insumos para el diseño de Plan Nacional de Búsqueda y elaboración de material pedagógico que acompaña el proceso. </t>
  </si>
  <si>
    <t xml:space="preserve">0 acuerdos de cooperación técnica suscritos </t>
  </si>
  <si>
    <t>No Aplica</t>
  </si>
  <si>
    <t>Óptimo</t>
  </si>
  <si>
    <t>20% de los recursos de cooperación internacional ejecutados</t>
  </si>
  <si>
    <t>10 acciones de pedagogía y comunicación estratégica externa</t>
  </si>
  <si>
    <t>3 herramientas de comunicación interna</t>
  </si>
  <si>
    <t xml:space="preserve">Se realizaron y socializaron dos boletines internos informativos; se definieron los lineamientos de la cartelera interna informativa y se colocaron dos carteleras que se van actualizando una o dos veces por mes, según demanda de información. Se enviaron las comunicaciones oficiales de la entidad o de interés para los servidores y servidoras a través del correo "Comunicaciones UBPD". </t>
  </si>
  <si>
    <t>1 Informe del sistema de control interno realizado</t>
  </si>
  <si>
    <t>La Oficina de Control Interno realizó evaluación y seguimiento al estado del control interno de la entidad y emitió el informe Ejecutivo Anual de Control Interno con Fecha de corte a 31 de diciembre de 2018.</t>
  </si>
  <si>
    <t>La Oficina de Control Interno realizó la Auditoría Interna al proceso de Vinculación de Personal de la UBPD, en el mes de enero de 2019 y emitió el informe final de la auditoría. El informe final fue presentado en el Comité Institucional de Coordinación de Control Interno No. 1, realizado el 19 de febrero de 2019.</t>
  </si>
  <si>
    <t>78,57% de servidores de la Unidad utilizaron herramientas colaborativas</t>
  </si>
  <si>
    <t>Se genera reporte de uso desde la consola de administración de la plataforma de herramientas colaborativas g-suite, la cual se analiza de acuerdo al uso en almacenamiento de los usuarios en el Drive, así como la creación o edición de documentos google.</t>
  </si>
  <si>
    <t>Subestimado</t>
  </si>
  <si>
    <t>No es Acumulado</t>
  </si>
  <si>
    <t>Se realiza aseguramiento de servidores virtuales (que soportan los servicios de controlador de dominio e impresión) contratados con el proveedor ETB a través de la seguridad centralizada en la cual se considera servicio de Firewall, así mismo se contrata para estos activos el servicio de respaldo en datacenter alterno.</t>
  </si>
  <si>
    <t>2 Activos de información asegurados</t>
  </si>
  <si>
    <t>97% de los servicios de TI disponibles</t>
  </si>
  <si>
    <t>99,78% de los servicios de TI disponibles</t>
  </si>
  <si>
    <t>Crítico</t>
  </si>
  <si>
    <t>0 herramientas de apoyo a la gestión de información identificadas y probadas</t>
  </si>
  <si>
    <t>1% del sistema de gestión diseñado e implementado en el 2019</t>
  </si>
  <si>
    <t>0,07% de la ejecución presupuestal de los recursos de Inversión</t>
  </si>
  <si>
    <t>7% de los instrumentos de rendición de cuentas implementados</t>
  </si>
  <si>
    <t>1. Informe de gestión y rendición de cuentas 2018 publicado en la página web de la UBPD
2. Listado de asistencia reunión con la Oficina Asesora de Comunicaciones y Pedagogía de fecha 19/03/2019</t>
  </si>
  <si>
    <t>14% de ejecución del plan de estudios e investigaciones</t>
  </si>
  <si>
    <t>0 proyectos de cooperación financiera aprobados</t>
  </si>
  <si>
    <t>1 proyectos de cooperación financiera aprobados</t>
  </si>
  <si>
    <t>2 soluciones a obstáculos y riesgos de gestión de conocimiento identificados</t>
  </si>
  <si>
    <t>0 soluciones a obstáculos y riesgos de gestión de conocimiento identificados</t>
  </si>
  <si>
    <t>No reporta avances cualitativos</t>
  </si>
  <si>
    <t>Durante el primer trimestre la SGTT adelantó reuniones y consolidó documentos con la Comisión de Esclarecimiento para la Verdad (CEV) y Pastoral Social. Con la CEV se firmó un convenio para el apoyo en el despliegue territorial de la UBPD. En el caso de Pastoral Social, se adelantó la redacción de una carta de entendimiento que será compartida con Pastoral Social una vez sea avalada por la Oficina Jurídica de la UBPD. Así mismo, la Dirección General ha adelantado reuniones con la CEV para establecer una posible ruta de trabajo entre ambas entidades para temas relacionados con recolección de información</t>
  </si>
  <si>
    <t>0% de protocolo de información construido</t>
  </si>
  <si>
    <t>15% de avance en el diseño e implementación de los mecanismos de planeación y seguimiento a la operación misional de las áreas a cargo de la subdirección técnica y territorial</t>
  </si>
  <si>
    <t>0% de los equipos territoriales de la UBPD en funcionamiento</t>
  </si>
  <si>
    <t>50% de los lineamientos del enfoque territorial de la UBPD construidos</t>
  </si>
  <si>
    <t>0% de los lineamientos del enfoque territorial de la UBPD construidos</t>
  </si>
  <si>
    <t>0 documento de lineamientos para construcción de plan nacional de búsqueda presentado a la Dirección General de la UBPD</t>
  </si>
  <si>
    <t xml:space="preserve"> 1 documento sobre criterios de evaluación y aprobación de los planes regionales de búsqueda presentado a la Dirección General de la UBPD para su aprobación</t>
  </si>
  <si>
    <t>0 documentos sobre criterios de evaluación y aprobación de los planes regionales de búsqueda presentado a la Dirección General de la UBPD para su aprobación</t>
  </si>
  <si>
    <t>0 documentos con insumos sobre contexto y situación de riesgo territorial elaborados siguiendo las orientaciones del asesor de protección de la UBPD</t>
  </si>
  <si>
    <t>40% Porcentaje de avance en la elaboración del documento de la política de prevención del daño antijurídico realizado</t>
  </si>
  <si>
    <t>1. La Oficina Asesora Jurídica, efectuó un estudio de los riesgos que pueden generar litigiosidad, determinando que frente a las funciones de la entidad se pueden configurar 9 posibles riesgos que eventualmente darían origen a acciones judiciales. 
2. Estos riesgos fueron socializados con las áreas administrativas y misionales. Se les solicitó que priorizaran los que consideraran tenían una mayor probabilidad de configurarse dentro de su proceso o en su defecto indicaran otros que pudieran ocasionarse.
3. Posteriormente se realizó reunión con todas las áreas de la entidad, en la cual cada una de ellas indicó el o los riesgos priorizados.
4. Una vez conformado el Comité de Conciliación, en sesión del 3 de abril de 2019, de los 7 riesgos en los cuales coincidieron las áreas, se determinó que se priorizarían 3 de ellos (contrato realidad, confidencialidad de la información, falta de medidas de seguridad para los servidores de la UBPD y las familias de las Víctimas). Se asignaron responsables para la formulación del respectivo plan de acción de cada uno.
5. Se remitió a las áreas responsables las matrices que deben ser diligenciadas a efectos de formular el plan de acción y los indicadores del riesgo respectivo para posteriormente construir el documento de política de prevención del daño antijurídico.</t>
  </si>
  <si>
    <t>Se socializó el documento "Guía e instrucciones para la gestión documental de información que contribuya a la búsqueda de personas dadas por desaparecidas en el contexto y en razón del conflicto armado" en las jornadas de alistamiento y se tomó la decisión de que esta guía con ajustes se convierta en el primer protocolo de protección de información. 
Además se elaboró documento con medidas para la recepción y protección de información proveniente del proceso especial de recolección de información humanitaria.</t>
  </si>
  <si>
    <t>0 Plan Nacional de Búsqueda formulado</t>
  </si>
  <si>
    <t>0 documentos sobre el universo de personas dadas por desaparecidas en el contexto y en razón del conflicto armado elaborados en doce meses</t>
  </si>
  <si>
    <t>0 documentos sobre el registro nacional de fosas, cementerios ilegales y sepulturas elaborados</t>
  </si>
  <si>
    <t>0 planes con hipótesis de localización</t>
  </si>
  <si>
    <t>0 métodos de prospección valorados</t>
  </si>
  <si>
    <t>0 prospecciones realizadas</t>
  </si>
  <si>
    <t xml:space="preserve">Se inició la elaboración del procedimiento de prospección </t>
  </si>
  <si>
    <t>Se escogieron los tres métodos de recuperación a valorar: 
1. Aplicación de las técnicas tradicionales de la arqueología forense
2. Aplicación de técnicas de fotogrametría en los procesos de recuperación forense 
3. Generación de interferometría (medición laser)</t>
  </si>
  <si>
    <t>0 métodos de recuperación valorados</t>
  </si>
  <si>
    <t>0 cuerpos recuperados</t>
  </si>
  <si>
    <t>Se inició la elaboración del procedimiento de prospección</t>
  </si>
  <si>
    <t>0% de procesos de identificación monitoreados</t>
  </si>
  <si>
    <t>0 Acciones de Impulso implementadas para la identificación</t>
  </si>
  <si>
    <t>0 reencuentros solicitados</t>
  </si>
  <si>
    <t>0 entregas dignas solicitadas</t>
  </si>
  <si>
    <t>0 organizaciones de la sociedad civil apoyan los procesos de participación en la búsqueda</t>
  </si>
  <si>
    <t xml:space="preserve">La DPCVED ha venido construyendo la estrategia para la red de apoyo, definiendo objetivos, alcances y el despliegue territorial que tendría la misma. </t>
  </si>
  <si>
    <t>5 organizaciones de la sociedad civil conocen el trabajo de la UBPD e inician un contacto de relacionamiento</t>
  </si>
  <si>
    <t>22 organizaciones de la sociedad civil conocen el trabajo de la UBPD e inician un contacto de relacionamiento</t>
  </si>
  <si>
    <t>La DPCVED ha venido avanzando en el relacionamiento con diferentes organizaciones tanto del nivel nacional como regional, con el objetivo de dar a conocer la labor de la UBPD e iniciar acercamientos que permitan establecer un trabajo articulado que fortalezca el proceso de participación.</t>
  </si>
  <si>
    <t>5 Grupos internos de trabajo consolidados</t>
  </si>
  <si>
    <t>En relación con el indicador de la referencia, es necesario destacar que la conformación de los grupos internos de trabajo definidos para las 2 subdirecciones a cargo de la Secretaria General, se encuentra contenida en un acto administrativo que en su momento fue enviado para revisión de la Oficina Jurídica de la entidad, pero que a la fecha y luego de analizar las nuevas necesidades producto de la vinculación de un número considerable de servidores, sumado al desarrollo del curso normal de las funciones propias a cargo del área, se encuentra en proceso de reformulación. No obstante, la versión ajustada del acto administrativo será enviada para revisión y correspondiente firma de las de las áreas competentes. Se envía como evidencia el proyecto de resolución que se trabajó con anterioridad.</t>
  </si>
  <si>
    <t>0 Grupos internos de trabajo consolidados</t>
  </si>
  <si>
    <t>No obstante que frente al reporte del 1° trimestre del indicador objeto de estudio, no se fijó ninguna política administrativa implementada, es de destacar que, en referencia al tema de capacitación, se han adelantado varios esfuerzos con miras a satisfacer la necesidad de brindar espacios de capacitación y formación para los servidores de la entidad y, adicionalmente la importancia de contar con un acompañamiento integral en aspectos que la UBPD considera estratégicos en desarrollo de sus funciones tanto administrativas como misionales.</t>
  </si>
  <si>
    <t>100% de las actuaciones administrativas publicadas</t>
  </si>
  <si>
    <t>22,5% de los recursos ejecutados</t>
  </si>
  <si>
    <t>4,9% de los recursos ejecutados</t>
  </si>
  <si>
    <t>Los resultados registrados para el 1° trimestre, dan cuenta del impacto en la baja ejecución de los gastos de inversión frente al total del presupuesto asignado, no obstante y teniendo en cuenta lo programado en el PAA, se espera en el 2° trimestre del año un mejoramiento en el comportamiento de ejecución, que se refleje positivamente en los porcentajes y parámetros establecidos para la medición frente a la totalidad del presupuesto de la UBPD</t>
  </si>
  <si>
    <t>Máximo 6% de PAC no utilizado</t>
  </si>
  <si>
    <t>1. Solicitud de PAC. 
2. Pagos efectivos realizados cada mes. (SIIF)</t>
  </si>
  <si>
    <t>Todas las solicitudes de bienes y servicios realizadas durante el primer trimestre han sido atendidas, sin embargo, se aclara que la atención de cada una de ellas se da en la medida de la disponibilidad que se tenga de los bienes y elementos, por esta razón, las cantidades solicitudes pueden variar respecto de las cantidades entregadas en temas como papelería y cafetería.</t>
  </si>
  <si>
    <t>90% de las solicitudes de bienes y servicios atendidas</t>
  </si>
  <si>
    <t>Riesgo</t>
  </si>
  <si>
    <t xml:space="preserve">A la fecha se cumple con el diseño de los instrumentos PINAR - PGD - TRD como se encontraba previsto. La SAF se encuentra al día en cuanto al cumplimiento de los plazos establecidos para dar continuidad al proceso de aprobación e implementación de los mismos. </t>
  </si>
  <si>
    <t>El Plan de Vinculación se adoptó el 22 de febrero y a partir de ese momento hasta el 31 de marzo, no se han generado ingresos. En este periodo se inició con el proceso de recolección de hojas de vida.</t>
  </si>
  <si>
    <t>1. Plan de vinculación
2. Resolución 060 del 22 de febrero de 2019</t>
  </si>
  <si>
    <t>Del 18 al 22 de marzo se realizó la encuesta de calidad de vida - programa de bienestar para establecer las necesidades que se recolectarán en el Plan de Bienestar</t>
  </si>
  <si>
    <t>0 Herramientas de medición del clima laboral Implementadas</t>
  </si>
  <si>
    <t xml:space="preserve">Se realizó solicitud de redistribución de presupuesto y extensión en tiempo del proyecto que implementa la UBPD con recursos del Fondo Multidonante de las Naciones Unidas para corregir la subejecución que presenta el proyecto. Se ajustó además el Plan Operativo del proyecto que la entidad ejecuta con el ICTJ mediante los recursos de la Embajada de Holanda, para dar comienzo a las actividades en el segundo trimestre del año. </t>
  </si>
  <si>
    <t>1. Ficha de solicitud de redistribución de presupuesto y extensión de proyecto del Fondo Multidonante operado por PNUD; 
2. Oficio de notificación a ajuste a POA proyecto con Embajada de Holanda, operado por el ICTJ.</t>
  </si>
  <si>
    <t xml:space="preserve">Se encuentra en desarrollo la definición de las especificaciones técnicas del Modelo de Gestión Estratégíca de TI. 
El Modelo de Gestión estratégica de TI se definirá como un componente de la consultoría a realizar para el diseño del Sistema de Información Misional y el Modelo de Seguridad de la Información. 
Se ha establecido el mapa de ruta de las actividades a desarrollar para la ejecución del proceso contractual de la consultoría. </t>
  </si>
  <si>
    <t>1. Boletines febrero 2019 
2. Carteleras internas febrero y marzo 2019 y lineamientos
3. Comunicaciones enviadas por correo electrónico de "Comunicaciones".</t>
  </si>
  <si>
    <t>1. El informe Ejecutivo Anual de Control Interno vigencia 2018, se encuentra publicado en la página web de la Unidad en el siguiente Link: https://www.ubpdbusquedadesaparecidos.co/p/documentos.html</t>
  </si>
  <si>
    <t>1. El informe final de la Auditoría Interna del proceso de Vinculación de Personal de la UBPD, reposa en el archivo de la Oficina de Control Interno
2. Presentación al Comité Institucional de Coordinación de Control Interno consta en el Acta 01 de 2019.</t>
  </si>
  <si>
    <t>1. Orden del día del Comité de Conciliación del 3 de abril de 2019.
2. Actas de reunión con las áreas.
3. Presentación de riesgos para la formulación de las políticas de prevención del daño antijurídico.</t>
  </si>
  <si>
    <t>Se escogieron los tres métodos de prospección a valorar: 
1. Radar de penetración o GPR (ground penetrating radar)
2. Método electromagnético y 
3. Resistivímetro.</t>
  </si>
  <si>
    <t>Durante el primer trimestre la Dirección de Participación, contacto con las víctimas y Enfoques diferenciales ha asesorado, orientado, apoyado y fortalecido a 268 personas. De estas, 14 personas han iniciado el proceso de participación en la búsqueda de sus familiares y 254 han sido asesoradas en el mandato y misionalidad de la UBPD para presentar solicitudes de búsqueda.</t>
  </si>
  <si>
    <t>En el proceso de alistamiento de la UBPD, la Dirección de Participación, contacto con las víctimas y Enfoques diferenciales realizó la definición y diseño deL proceso del Flujograma de Reencuentro así como del documento descriptivo-explicativo del mismo. Lo anterior en el marco del fortalecimiento de la participación a personas en proceso de la búsqueda.</t>
  </si>
  <si>
    <t>Se han publicado en la página web de la entidad, 5 resoluciones de carácter general que corresponden a la totalidad de los actos administrativos que cumplen con las condiciones legales para dar lugar a su publicación, no obstante, se deja constancia que se está avanzando en la etapa precontractual del contrato interadministrativo a suscribir con la Imprenta Nacional, con el objeto de efectuar la publicación de estos actos administrativos de carácter general en el “Diario Oficial”. Adicionalmente, es de destacar que a la fecha de corte se encuentran publicados en la página web del SECOP los 5 contratos suscritos por parte de la entidad, con sus correspondientes documentos anexos.</t>
  </si>
  <si>
    <t>Durante el primer trimestre de 2019 se evidenció un uso óptimo de los recursos programados, dando cuenta de una planeación efectiva del PAC conforme con los compromisos adquiridos por la entidad, promediando un 3,9 % de recursos no utilizados sobre la programación, cifra muy cercana de la meta. Para medir el % de avance se realiza la diferencia entre el porcentaje de lo no utilizado en el PAC y el 100%, arrojando un 96,1%</t>
  </si>
  <si>
    <t xml:space="preserve">1. Solicitudes de papelería y actas de entrega de papelería. 
2. Solicitudes realizadas al proveedor de elementos de cafetería. </t>
  </si>
  <si>
    <t>1. Presentación RED DE APOYO</t>
  </si>
  <si>
    <t>1. Diagrama de la solución entregado por el proveedor ETB, donde se describe la seguridad de los activos asegurados.
2. Informe de implementación de seguridad centralizada para la UBPD por parte de ETB.
Evidencias disponibles en: https://drive.google.com/drive/folders/1JMDBlEWq3GxFlw6L7hiE_0kGKcH4JF_P</t>
  </si>
  <si>
    <t xml:space="preserve">1. Acta de elaboración de la ficha de los indicadores con la oficina asesora de planeación </t>
  </si>
  <si>
    <t>1. Acta de elaboración de la ficha de los indicadores con la oficina asesora de planeación</t>
  </si>
  <si>
    <t>0 proyectos de inversión aprobados</t>
  </si>
  <si>
    <t>90% de las metas del plan de acción cumplidas</t>
  </si>
  <si>
    <t>Se anexan los siguientes documentos:
1) Metodología del Estado del Arte sobre la Desaparición en Colombia en el Marco y en Razón del Conflicto Armado.
2) Plan de estudio: Contextos Generales de las Violaciones a los Derechos Humanos Asociadas a la Desaparición en Colombia en el Marco y en Razón del Conflicto Armado.
3)Plan de estudio: Documentación de las metodologías de los procesos de búsqueda de las personas desaparecidas en contextos de violencia sociopolítica a nivel internacional</t>
  </si>
  <si>
    <t>Se anexan los siguientes documentos:
1. Protocolo de manejo del Centro documental
2. Listado de documentos disponibles
3. Nota de divulgación en el boletín institucional "somos UBPD No.6"
Adicionalmente, se anexan los siguientes seis documentos:
1. Documento con la metodología para la construcción de la memoria institucional.
2. Informe de avance del Plan Institucional de Capacitación
3. Plan de trabajo de la construcción del glosario institucional y ontología conceptual de la UBPD.
4. Informe de promoción del conocimiento al interior de la UBPD
5. Dos documentos de comunicación y pedagogía</t>
  </si>
  <si>
    <t>1. Captura de Reporte generado desde la consola de administración g-suite.
2. Archivo de Excel con el análisis del reporte generado por g-suite.
Evidencias disponibles en : https://drive.google.com/drive/folders/1J9HftYd_tTKc811ciuhP-sv2_uSYF86d</t>
  </si>
  <si>
    <t>Se presentan 2 incidencias de disponibilidad en el periodo, el primero corresponde a servicio de impresión por un periodo de 6 horas para una disponibilidad del 99,16% con numero de caso ETB SD1266156 y el otro caso corresponde al servicio de internet el cual se afectó por un periodo de 8 horas lo que impactó la disponibilidad en un 98,88%, para los demás servicios no se presentaron fallas o incidencias sobre su disponibilidad.</t>
  </si>
  <si>
    <t>1. Informes de gestión y disponibilidad de los servicios por parte del proveedor.
2. Libro de Excel con el cálculo del indicador de acuerdo con los datos entregados por el proveedor.
Evidencias disponibles en: https://drive.google.com/drive/folders/1CcjGEJzdAwkiise1RDKaNliH2E4erS4L</t>
  </si>
  <si>
    <t>Los documentos de evidencia se encuentran en proceso de construcción colaborativo entre las dependencias involucradas (OTI y Subdirección de Información para la búsqueda) y se encuentran en el enlace https://drive.google.com/drive/folders/1yryMtxL_81d8r8mliLYWkl_5HVvrSCye</t>
  </si>
  <si>
    <t>Se han realizado pruebas de varias herramientas de software con la subdirección de la gestión de la información específicamente con herramientas tecnológicas enfocadas a reconocimiento de caracteres que permitirán apoyar en los requerimientos y procesos que tengan que ver con el manejo, transformación y análisis de la información. estas pruebas aún se están ejecutando por el área usuaria y estamos en espera de los resultados</t>
  </si>
  <si>
    <t>1. Desayuno con Periodistas
2. Encuentro Exploratorio Puerto Asís
3. Encuentro Exploratorio Villavicencio
4. Twitter
5. Campaña Digital conmemoración 8 marzo. / Videos pedagógicos
6. Propósitos UBPD
7. Quién es una persona desaparecida
8. En el camino de la Búsqueda
9. Enfoque de Género en la UBPD, 
10. Impactos de la Desaparición en las Mujeres</t>
  </si>
  <si>
    <t xml:space="preserve"> - Se elaboró, aprobó y publicó el plan anticorrupción y atención al ciudadano y el mapa de riesgos de corrupción de la UBPD para la vigencia 2019. Durante la construcción del plan y del mapa se realizó un proceso de participación con la ciudadanía y los servidores públicos para recibir propuestas o sugerencias de ajuste al respecto.
 - Se han diseñado procedimientos, planes y formatos en el marco del Sistema de Gestión de la Calidad, solicitados por las diferentes áreas para la respectiva codificación y versionamiento.
- Se proyectó la resolución que conforma el Comité de Gestión Institucional que permite fortalecer la implementación de las políticas de gestión y desempeño.
- Se inició el diseño de las rutas preliminares de los procesos misionales como parte del alistamiento territorial. </t>
  </si>
  <si>
    <t>Las obligaciones realizadas durante el primer trimestre corresponden a avances en la ejecución de contratos de la oficina de tecnología por valor de $35.215.644 asociados al proyecto de fortalecimiento producto sedes adecuadas rubro C-4499-1000-1-0-4499013-02. Adicionalmente se han realizado informes de seguimiento a la ejecución presupuestal elaborados y presentados por la Oficina Asesora de Planeación a la Dirección General y al equipo directivo, con las siguientes fechas de corte:
1) Con corte a febrero 4 de 2019, presentado a través de correo electrónico a la Dirección General, Subdirección General Técnica y Territorial, Secretaría General, Subdirección Administrativa y Financiera y Subdirección de Gestión Humana. 
2) Con corte a 22 de febrero de 2019, presentado en reunión del equipo misional (se adjunta presentación pero el listado de asistencia o acta de estas reuniones no reposa en la Oficina Asesora de Planeación)
3) Con corte a 28 de febrero de 2019, enviado por memorando a todo el equipo directivo.
4) Con corte a 31 de marzo de 2019, socializado en Comité de Gestión del 2 de abril de 2019 (se adjunta listado de asistencia; el acta se encuentra en elaboración)</t>
  </si>
  <si>
    <t>Se consolidó, construyó y publicó el informe de gestión de la UBPD del año 2018. Adicionalmente, se apoyó a la Oficina Asesora de Comunicaciones y Pedagogía en la construcción de propuestas para realizar la(las) audiencia(s) de rendición de cuentas para el 2019.</t>
  </si>
  <si>
    <t>Durante el primer trimestre, la Subdirección General Técnica y Territorial contrató a 8 profesionales para apoyar las tareas administrativas de las Direcciones Misionales. Las personas fueron contratadas a partir de abril hasta diciembre de 2019. Así mismo adelantó entrevistas para los cargos de Experto Técnico 5, Experto Técnico 3, Analista Técnico 1 y Analista Técnico Unidad Especial 1. Del proceso se seleccionaron los cargos de Experto Técnico 3, Analista Técnico 1 y Analista Técnico Unidad Especial 1. 
En cuanto al diseño de los instrumentos para el seguimiento a la gestión, conformación de la mesa técnica e implementación de los instrumentos, están a cargo de la Subdirector(a) General Técnica y Territorial que por el momento no ha sido nombrada por la entidad. Esta actividad no ha sido delegada por parte de la Dirección General. Por lo tanto no se cuenta con la información suficiente para medirlo</t>
  </si>
  <si>
    <t>Durante el primer trimestre del año se han recibido en la UBPD 4916 archivos con información relacionada con la búsqueda de personas desaparecidas. La totalidad de ellos se encuentran digitalizados y almacenados, con accesos controlados, en la máquina workstation SGI-BOG-011 a cargo de la Subdirección de Gestión de Información para la Búsqueda y compartidos, también con control de acceso, en el drive de trabajo colaborativo "Fuentes de Información" de la Dirección de Información, Planeación y Localización para la Búsqueda. Así mismo, 2114 de ellos se encuentran registrados y descritos en el registro de fuentes de la entidad. Con lo cual, el avance del indicador corresponde a (2114/4916) igual al 43%.</t>
  </si>
  <si>
    <t>Aunque no se ha iniciado de forma explícita el trabajo de construcción del Registro Nacional de Fosas, Cementerios Ilegales y Sepulturas, se ha avanzado en la georreferenciación de algunos sitios de los cuales se ha tenido conocimiento sobre la posible existencia de fosas con personas dadas por desaparecidas.</t>
  </si>
  <si>
    <t>1. Flujograma diligencia de prospección ubpd version 2</t>
  </si>
  <si>
    <t>1. Flujograma diligencia de recuperación ubpd version 2</t>
  </si>
  <si>
    <t>1. Flujograma monitoreo id 05-04-2019</t>
  </si>
  <si>
    <t>Se inició el diseño del procedimiento de monitoreo del proceso de identificación</t>
  </si>
  <si>
    <t xml:space="preserve">Se diseñó el instrumento para el diagnóstico de los casos en los cuales el cadáver continúa sin identificar </t>
  </si>
  <si>
    <t>En el proceso de alistamiento de la UBPD, la DPCVED realizó la definición y diseño del proceso del Flujograma de Entrega Digna, así como del documento descriptivo-explicativo del mismo. Lo anterior en el marco del fortalecimiento de la participación a personas en proceso de la búsqueda.</t>
  </si>
  <si>
    <t>1. documento que contiene el link y la ruta de publicación de los actos administrativos de carácter general en la página web de la UBPD 
2. Los 5 actos administrativos de carácter general publicados en la página web de la UBPD y, 
3. Un anexo con la relación de contratos y su correspondiente link en el sitio web del SECOP</t>
  </si>
  <si>
    <t>Se cumple de manera efectiva con la meta propuesta para la elaboración de la política de servicio al ciudadano de acuerdo con los tiempos establecidos, el grado de avance está acorde con lo que se había planeado para esta altura del año. 
Así mismo, se adelantó en la elaboración de los documentos tales como Protocolo de atención, Carta del trato Digno, Formato de registro de PQRS, Plan de acción.</t>
  </si>
  <si>
    <t>1. Manual servicio al ciudadano
2. Protocolo servicio al ciudadano
3. Carta del trato digno
4. Estrategia de comunicación interna y externa de Servicio al Ciudadano
5. Formato registro PQRS
6. Plan de Acción servicio al ciudadano</t>
  </si>
  <si>
    <t>1. PINAR V1
2. Documento TRD Elaborado 
3. Cuadro de Clasificación documental. 
4. Documento Protocolo de Gestión Documental Elaborado.</t>
  </si>
  <si>
    <t>La inducción estaba planeada para la última semana de marzo, pero por definición del Plan de Capacitación se corrió para el mes de abril. Sin embargo, se realizaron tres actividades de capacitación: capacitación en la herramienta ArcGIS (sistema que permite recopilar, organizar, administrar, analizar, compartir y distribuir información geográfica) y capacitación en G Suite (servicio de Google que reúne sus productos con nombre de dominio personalizado. En total se capacitaron 52 servidores</t>
  </si>
  <si>
    <t xml:space="preserve">1. Estudios previos proceso exámenes médicos.
2. Procedimiento realización de exámenes médicos 
3. Resolución Política objetivos y responsabilidades, 
4. Reglamento de higiene y seguridad Industrial. 
5. Resolución convocatoria COPASST, 
6. Resolución conformación COPASST, 
7. Matriz de Identificación de Riesgos, 
8. Procedimiento Reporte e Investigación de Accidentes, </t>
  </si>
  <si>
    <t>Se realizó la autoevaluación y se efectuaron los proyectos de resolución de política, objetivos y responsabilidades del Sistema de Gestión, reglamento de higiene y seguridad industrial, convocatoria y conformación del Comité Paritario de Seguridad y Salud en el Trabajo y del Comité de Convivencia Laboral. 
Se realizó la identificación, evaluación y valoración de los riesgos de cada una de las áreas. Se estableció el procedimiento de realización de exámenes médicos ocupacionales y se inició el proceso de contratación de exámenes médicos. 
Se cuenta con el procedimiento para el reporte e investigación de accidentes de trabajo.</t>
  </si>
  <si>
    <t>PLAN DE ACCIÓN 2019</t>
  </si>
  <si>
    <t>1. Plan anticorrupción y atención al ciudadano 2019 UBPD 29012019 Publicar
2. Riesgos Corrupción 2019 UBPD 29012019 Publicar
3. Acta de reunión directiva 001 y listado de asistencia 11012019
4. Acta de reunión directiva 002 y listado de asistencia 18012019
5. Acta de reunión directiva 003 25012019
6. Listados de asistencia 7 sesiones de trabajo individuales 1-2019
7. Correo Masivo Proyecto del Plan Anticorrupción y de Atención al Ciudadano y el Mapa de Riesgos de Corrupción 2019
8. Pantalla de Publicación en página web 22012019
9. Correo AVISO publicación y envío masivo del Plan Anticorrupción y Atención al Ciudadano y el Mapa de Riesgos de la UBPD 2019
10. Documentos del Sistema de Gestión de la Calidad: ruta: 
https://drive.google.com/drive/u/1/folders/18ukstRdNI-u_DJBg24JeAev3dIniYEnM
11. Resolución 079 de 2019 Por la cual se crea el Comité de Gestión de la UBPD
12. Rutas preliminares de los procesos misionales.</t>
  </si>
  <si>
    <t>1. Matriz ID excel 31.01.2019</t>
  </si>
  <si>
    <t>1. Documento Flujograma Entrega Digna 
2. Documento Descripción Flujograma de Entrega Digna</t>
  </si>
  <si>
    <t>1. Proyecto de Resolución de conformación de Grupos Internos de Trabajo al interior de la UBPD. (sujeta a la reformulación que se encuentra en curso).</t>
  </si>
  <si>
    <t>Dirección de Prospección, Recuperación e Identificación</t>
  </si>
  <si>
    <t>Oficina de Tecnologías de la Información y las Comunicaciones</t>
  </si>
  <si>
    <t>Subdirección General Técnica y Territorial</t>
  </si>
  <si>
    <t>1. Procedimiento para la identificación y mantenimiento de servicios de TI, 
2. Procedimiento atención solicitud de servicios de TI, 
3. Procedimiento gestión de cambios. y 
4. Procedimiento Políticas de Seguridad.
Las evidencias asociadas al cumplimiento de la actividad se encuentran ubicadas en la carpeta compartida en drive: Unidades de equipo --&gt;Oficina TIC --&gt; 4.Calidad--&gt;Borradores --&gt; -Gestión de servicios Tecnológicos. Enlace https://drive.google.com/drive/folders/14kqjyhoHQ8YcEDmq2cQm3jSo3oSIEoDO</t>
  </si>
  <si>
    <t>1. 39 archivos en 9 carpetas
Documentos y correos evidencias de herramientas y pruebas https://drive.google.com/drive/folders/1k_l9Mb1872pw-92UPsrWtFXcHt5fYYED</t>
  </si>
  <si>
    <t>1. Seguimiento al Plan de Acción 2019 con fecha corte 31 de marzo de 2019</t>
  </si>
  <si>
    <t xml:space="preserve">1. Los dos documentos se pueden encontrar en carpeta drive. Unidad de equipo: Plan de Acción 2019 - Carpeta Soportes primer trimestre </t>
  </si>
  <si>
    <t>1. Carpeta en workstation \\SGI-BOG-011\Fuentes de Información (No se envía soporte ya que contiene información sensible y además ocupa más de 30GB)
2. Matriz en hoja de cálculo "Registro de fuentes de la entidad" con descripción de los archivos que conforman las unidades de descripción documental sistematizadas. (No se envía soporte ya que contiene información sensible sobre las fuentes de la información recibida).</t>
  </si>
  <si>
    <t xml:space="preserve">1. Documento en borrador: " 042 - Consideraciones para la planeación de la conformación del Universo de Personas Dadas por Desaparecidas en el contexto y en razón del conflicto armado" que se encuentra en drive en la unidad de equipo Plan de Acción 2019, Carpeta Soportes Primer Trimestre. </t>
  </si>
  <si>
    <t>1. Múltiples archivos con información geográfica en formatos de Geo Data Bases y Shapefiles e informe inicial de localización de sitios (No se envían ya que contienen información sensible sobre la presunta ubicación de lugares de disposición de cuerpos)</t>
  </si>
  <si>
    <t>1. Reporte de ejecución presupuestal correspondiente a los meses de enero, febrero y marzo de 2019 en formato pdf y a su vez publicados en la página web de la entidad por parte de la Subdirección Administrativa y Financiera de la UBPD</t>
  </si>
  <si>
    <t>1. Listados de asistencia</t>
  </si>
  <si>
    <t>1. Correo de encuesta</t>
  </si>
  <si>
    <t>Adecuado</t>
  </si>
  <si>
    <t>80,6% de las metas trimestrales del plan de accion con nivel óptimo o adecuado</t>
  </si>
  <si>
    <r>
      <t xml:space="preserve">Para el año 2019 existen 71 indicadores registrados en el Plan de Acción 2019. De estos 71 indicadores, en el primer trimestre de 2019 se encuentran 31 indicadores con metas mayor a cero generando entonces una meta de este indicador para el primer trimestre de </t>
    </r>
    <r>
      <rPr>
        <b/>
        <sz val="9"/>
        <rFont val="Arial Narrow"/>
        <family val="2"/>
      </rPr>
      <t>43,7%</t>
    </r>
    <r>
      <rPr>
        <sz val="9"/>
        <rFont val="Arial Narrow"/>
        <family val="2"/>
      </rPr>
      <t xml:space="preserve">. De los 31 indicadores precitados se dio cumplimiento con nivel «óptimo» en 25 de ellos. Por lo anterior, se genera el cálculo de este indicador tomando los 25 indicadores sobre los 71 inscritos en el Plan de Acción 2019 con un resultado del </t>
    </r>
    <r>
      <rPr>
        <b/>
        <sz val="9"/>
        <rFont val="Arial Narrow"/>
        <family val="2"/>
      </rPr>
      <t>35,2%</t>
    </r>
    <r>
      <rPr>
        <sz val="9"/>
        <rFont val="Arial Narrow"/>
        <family val="2"/>
      </rPr>
      <t xml:space="preserve">. Por lo anterior, se calcula el avance cuantitativo así: =((25/71)/(31/71))= (35,2%)/(43,7%)= </t>
    </r>
    <r>
      <rPr>
        <b/>
        <sz val="9"/>
        <rFont val="Arial Narrow"/>
        <family val="2"/>
      </rPr>
      <t>80,6%</t>
    </r>
  </si>
  <si>
    <t>8,03% de los recursos de cooperación internacional ejecutados</t>
  </si>
  <si>
    <t>1. Memorado de Entendimiento -UBPD -ONUMUJERES - formato nuevo
2. Propuesta Centro carter_UBPD_TechnicalAssistanceProposal_Feb2019
3. VISP-228 (MOU UBPD)(VP1-G4)(02-04-2019) Borrador Cooperacion</t>
  </si>
  <si>
    <t>1. Lista asistencia_entrevistas contratistas direcciones misionales</t>
  </si>
  <si>
    <t>1. ACTA REUNIÓN CEV y UBPD - 2019-02-18
2. Convenio UBPD_CEV</t>
  </si>
  <si>
    <t>En 2019, la UBPD elaboró un documento metodológico para la formulación del Plan Nacional. Este documento explica que la formulación del plan tendrá tres fases. La primera entre mayo y junio de 2019 consta de 8 talleres con organizaciones de defensa de derechos humanos, con organizaciones de víctimas de desaparición forzada, organizaciones de víctimas de secuestro y con entidades estatales para recoger insumos que puedan incluirse en el Plan Nacional de Búsqueda. Con cada uno de estos grupos se tendrán talleres específicos. En la segunda fase se formulará un borrador del Plan Nacional de Búsqueda que será socializado con las mismas organizaciones y entidades en una tercera fase. El documento final se espera publicarlo en agosto de 2019</t>
  </si>
  <si>
    <t>1. Ruta del proceso de construcción del plan nacional de búsqueda</t>
  </si>
  <si>
    <t>AJUSTAR LECTURA Y CUMPLIMIENTO DE LAS METAS</t>
  </si>
  <si>
    <t>NOMBRE DEL INDICADOR</t>
  </si>
  <si>
    <t>Cronograma de Trabajo</t>
  </si>
  <si>
    <t>Cronograma de trabajo</t>
  </si>
  <si>
    <t>La DTPCVED, durante este segundo trimestre, avanzó en diferentes aspectos de trabajo con el objetivo de tener la estrategia de la Red de Apoyo. Por una parte, se estructuró un documento proyecto Red de Apoyo con metodología marco lógico, de acuerdo a las indicaciones del área de contratos de la Secretaría General. Igualmente, se realizó una estructuración del presupuesto que ejecutaría la Red de Apoyo.
Adicionalmente, la DTPCVED coordinó reuniones de trabajo con el área de contratos de la Secretaría General, la oficina jurídica, la Subdirección Técnica y Territorial y la Dirección General, para presentar los avances de la estrategia y, principalmente, para determinar la modalidad de contratación para la Red de Apoyo.</t>
  </si>
  <si>
    <t>Documento Proyecto Red de Apoyo
Archivo excel Presupuesto Red de Apoyo
Actas reuniones de trabajo internas UBPD.</t>
  </si>
  <si>
    <t>Actas, listados de asistencia y demás soportes relacionados</t>
  </si>
  <si>
    <t>8 organizaciones de la sociedad civil conocen el trabajo de la UBPD e inician un contacto de relacionamiento</t>
  </si>
  <si>
    <t>20 organizaciones de la sociedad civil conocen el trabajo de la UBPD e inician un contacto de relacionamiento</t>
  </si>
  <si>
    <t>La Oficina de Control Interno realizó seguimiento y evaluación al estado del control interno de la entidad con fecha de corte 01 de diciembre de 2018 al 31 de marzo de 2019 y se remitió el informe pormenorizado del Sistema de Control Interno a la Dirección General mediante memorando N. 12042019 130-3-444 de fecha 12 de abril de 2019.</t>
  </si>
  <si>
    <t>1. El Informe Pormenorizado del Sistema de Control Interno vigencia 2019, el cual se encuentra publicado en la página web de la UBPD en el siguiente link: https://www.ubpdbusquedadesaparecidos.co/acerca-de-la-busqueda/
2. Memorando N. 12042019 130-3-444 de fecha 12 de abril de 2019.</t>
  </si>
  <si>
    <t>17 Grupos internos de trabajo consolidados</t>
  </si>
  <si>
    <t xml:space="preserve">Mediante Resolución No. 217 del 07/05/2019 se reglamentó la conformación de los 17 Grupos Internos de Trabajo Territorial al interior de la UBPD.
La resolución por medio de la cual se conforman los 5 Grupos Internos de Trabajo (administrativos); se encuentra desde el 18/06/2019 en revisión de la Oficina Jurídica (Memorando No. 18062019-200-3-695). </t>
  </si>
  <si>
    <t>Resolución No. 217 del 07/05/2019 
Memorando No. 18062019-200-3-695 del 18-06-2019</t>
  </si>
  <si>
    <t>1 Auditoría de control interno realizada</t>
  </si>
  <si>
    <t xml:space="preserve"> 100% de la implementación del Plan anual de auditorías</t>
  </si>
  <si>
    <t>0 Auditorías de control interno realizadas</t>
  </si>
  <si>
    <t>Para el segundo trimestre no se programó auditoría.</t>
  </si>
  <si>
    <t>1 políticas administrativas adoptadas</t>
  </si>
  <si>
    <t>0 políticas administrativas adoptadas</t>
  </si>
  <si>
    <t>4 políticas administrativas adoptadas</t>
  </si>
  <si>
    <t>Mediante Resolución No. 206 del 03/05/2019, se estableció la política, objetivos, y se asignaron las obligaciones y responsabilidades frente al sistema de Gestión de Seguridad y Salud en el Trabajo.
Adicionalmente mediante Resolución No. 207 del 03/05/2019 se adoptó el Reglamento de Higiene y Seguridad Industrial en la UBPD.</t>
  </si>
  <si>
    <t xml:space="preserve">Resolución No. 206 del 03/05/2019
Resolución No. 207 del 03/05/2019 </t>
  </si>
  <si>
    <t>Contrato 052 del 12/06/2019
Base de datos con el link de publicación de contratos en las correspondientes plataformas establecidas para tal fin.</t>
  </si>
  <si>
    <t>45% de los recursos ejecutados</t>
  </si>
  <si>
    <t>12,2% de los recursos ejecutados</t>
  </si>
  <si>
    <t xml:space="preserve">* Solicitudes de papelería. * Actas de entrega de papelería. * Solicitudes realizadas al proveedor de elementos de cafetería. </t>
  </si>
  <si>
    <t>100 % de la política de servicio al ciudadano adoptada</t>
  </si>
  <si>
    <t>5% de la política de servicio al ciudadano adoptada</t>
  </si>
  <si>
    <t>21% de la política de servicio al ciudadano adoptada</t>
  </si>
  <si>
    <t>31% de la política de servicio al ciudadano adoptada</t>
  </si>
  <si>
    <t>Se precisa para el periodo de medición la imposibilidad de avance en materia, dado que no se ha logrado la contratación del profesional que gestione los hitos contemplados para el cumplimiento del indicador, lo anterior teniendo en cuenta que sobre las personas entrevistadas, y luego de valoradas sus hojas de vida, no se ha encontrado el perfil que cumpla con los requisitos definidos para tal fin, por lo cual, en aras de garantizar la idoneidad del profesional, a corte del presente reporte, se encuentra en proceso de selección.</t>
  </si>
  <si>
    <t>100% del Plan Institucional de Gestión Ambiental - PIGA diseñado</t>
  </si>
  <si>
    <t>0% del Plan Institucional de Gestión Ambiental - PIGA diseñado</t>
  </si>
  <si>
    <t>0% de Plan Institucional de Gestión Ambiental - PIGA diseñado</t>
  </si>
  <si>
    <t>40% del Plan Institucional de Gestión Ambiental - PIGA diseñado</t>
  </si>
  <si>
    <t>Se adjunta plan de trabajo de Gestión Documental</t>
  </si>
  <si>
    <t>Instrumentos archivísticos elaborados</t>
  </si>
  <si>
    <t>100% de los Instrumentos archivísticos elaborados</t>
  </si>
  <si>
    <t>6% de los Instrumentos archivísticos elaborados</t>
  </si>
  <si>
    <t>23% de los Instrumentos archivísticos elaborados</t>
  </si>
  <si>
    <t>0% de los Instrumentos archivísticos elaborados</t>
  </si>
  <si>
    <t xml:space="preserve">Elaborar el Plan Institucional de Archivos - PINAR </t>
  </si>
  <si>
    <t>Elaborar el Programa de Gestión Documentar - PGD de la UBPD</t>
  </si>
  <si>
    <t xml:space="preserve">Elaboración I Fase Tablas de Retención Documental </t>
  </si>
  <si>
    <t>Diseñar el plan de servicio al ciudadano.</t>
  </si>
  <si>
    <t>Presentar el plan para aprobación.</t>
  </si>
  <si>
    <t>Realizar seguimiento al plan de servicio al ciudadano.</t>
  </si>
  <si>
    <t>Elaborar la política de servicio al ciudadano.</t>
  </si>
  <si>
    <t>Presentar política de servicio al ciudadano para aprobación.</t>
  </si>
  <si>
    <t>7% de ejecución del plan de estudios e investigaciones</t>
  </si>
  <si>
    <t>Realizar las acciones para la provisíón del cargo.</t>
  </si>
  <si>
    <t>Ejecutar y evaluar el plan de capacitación</t>
  </si>
  <si>
    <t>Identificar las necesidades de bienestar.</t>
  </si>
  <si>
    <t>Formular e implementar el plan y las estrategias de Bienestar social y estímulos.</t>
  </si>
  <si>
    <t>% de cargos vacantes provistos de manera oportuna</t>
  </si>
  <si>
    <t>100% de cargos vacantes provistos de manera oportuna</t>
  </si>
  <si>
    <t>0% de cargos vacantes provistos de manera oportuna</t>
  </si>
  <si>
    <t>Novedades planta trimestre 2</t>
  </si>
  <si>
    <t>Se realizaron diez actividades de capacitación durante el segundo trimestre: tres jornadas de inducción, capacitación SECOP II, capacitación en Plan View, capacitación supervisión de contratos, capacitación en gestión del riesgo, capacitación comisiones de servicio, capacitación Ley de Transparencia y capacitación en GSuite. El consolidado de asistencia arroja como resultado que 127 servidores fueron capacitados (sin repetir)</t>
  </si>
  <si>
    <t>Listados de asistencia</t>
  </si>
  <si>
    <t>45 servidores públicos capacitados</t>
  </si>
  <si>
    <t>40 Servidores públicos capacitados</t>
  </si>
  <si>
    <t>Capacitar al 70% de los servidores públicos en 2019</t>
  </si>
  <si>
    <t>127 Servidores públicos capacitados</t>
  </si>
  <si>
    <t xml:space="preserve">Se presentó ante el Comité de Gestión el Plan de Bienestar Social y Estímulos que tuvo una aprobación general, no obstante, la Directora General se encuentra revisando a detalle cada actividad (se presentan los resultado de la encuesta laboral), se remitió a la Directora General un memorando con todas las actividades del Plan de Bienestar para su revisión y aprobación final. El día 27 de junio se celebró el Día del Servidor Público. </t>
  </si>
  <si>
    <t>20% del plan de bienestar social y estímulos implementado</t>
  </si>
  <si>
    <t>% del plan de bienestar social y estímulos implementado</t>
  </si>
  <si>
    <t>Plan de bienestar social y estímulos</t>
  </si>
  <si>
    <t>Ejecutar y evaluar el plan de bienestar social y estímulos.</t>
  </si>
  <si>
    <t>100% del plan de bienestar social y estímulos implementado</t>
  </si>
  <si>
    <t>70% del sistema de seguridad y salud en el trabajo implementado a diciembre de 2019</t>
  </si>
  <si>
    <t>33% del sistema de seguridad y salud en el trabajo implementado</t>
  </si>
  <si>
    <t>Se realizó la divulgación de la Política, objetivos, responsabilidades de Seguridad y Salud en el Trabajo, al igual que los riesgos asociados a las labores, el procedimiento para el reporte de accidentes de trabajo y lineamientos básicos de emergencias, por medio de las diferentes jornadas de inducción que se realizaron en los meses de abril, mayo y junio.</t>
  </si>
  <si>
    <t>1. Presentacion de la induccion modulo SG-SST.
2. Registros de asistencia de las inducciones.</t>
  </si>
  <si>
    <t>2% del sistema de seguridad y salud en el trabajo implementado</t>
  </si>
  <si>
    <t xml:space="preserve">Se presentó ante el Comité de Gestión la estrategia para la implementación del Código de Integridad en la Entidad. </t>
  </si>
  <si>
    <t xml:space="preserve">Presentación al Comité de Gestión. </t>
  </si>
  <si>
    <t>% del Código de Integridad Implementado</t>
  </si>
  <si>
    <t>100% del código de integridad implementado a diciembre de 2019</t>
  </si>
  <si>
    <t>0% del código de integridad implementado</t>
  </si>
  <si>
    <t>5% del código de integridad implementado</t>
  </si>
  <si>
    <t>La actividad se tiene prevista para el tercer trimestre del año.</t>
  </si>
  <si>
    <t>No reporta</t>
  </si>
  <si>
    <t>Se suscribió contrato interadministrativo No. 052 de 2019 con la Imprenta Nacional con el objeto de publicar en el “Diario Oficial”, todos los actos administrativos de carácter general que profiera la UBPD (se deja constancia que a la fecha de corte, no se ha requerido ninguna publicación).
No obstante lo anterior, en la página web de la entidad se encuentran publicados por cada uno de los temas (cuando así aplique), los actos administrativos expedidos por parte de la UBPD en ejercicio de sus funciones administrativas y misionales (Ejm. https://www.ubpdbusquedadesaparecidos.co/acerca-de-la-busqueda/, parte inferior, “estructura orgánica y gestión humana”, en el cual se encuentran publicadas todas las resoluciones de nombramientos de la planta de personal).
Adicionalmente, se deja constancia que en el segundo trimestre del año, han sido publicados en la plataforma de contratación pública del estado SECOP I 43 contratos, en SECOP II 2 contratos y en la TVEC 6 órdenes de compra. Lo anterior, para un total de 51 contratos publicados</t>
  </si>
  <si>
    <t>1. Plan de Trabajo de Servicio al Ciudadano
2. Acta de aprobación del Plan de Trabajo
3. Documento Política de Servicio al Ciudadano
4. Memorando 18162019-210-3-694 de fecha 18/06/2019</t>
  </si>
  <si>
    <t>10% del PAC no utilizado (Promedio trimestre)</t>
  </si>
  <si>
    <t>3,9% del PAC no utilizado
(Promedio trimestre)</t>
  </si>
  <si>
    <t xml:space="preserve">1. Plan de Bienstar Social y Estímulos 2019_V1, 
2. Presentación al Comité de Gestión, 
3. Resultados Encuesta Laboral, 
4. Memorando Directora General, Día del Servidor Público </t>
  </si>
  <si>
    <t xml:space="preserve">Durante el segundo trimestre de 2019, se estructuraron los siguientes convenios de cooperación técnica:
1. Fundación Carter: Se elaboró el documento de proyecto y a la fecha se encuentra en revisión de la oficina Jurídica y Secretaria General de la UBPD para firmar el convenio.
2. AECID: Se elaboró el documento de proyecto de cooperación técnica, a la fecha se encuentra en revisión del aliado, cuya finalidad es el desarrollo de intercambio de experiencias y apoyo para la participación de víctimas en el exterior
3. ICMP: Se cuenta con una carta de intención suscrita en el mes de noviembre de 2018 la cual está en proceso de revisión conjunta con la organización para formalizar el acuerdo 
4. JRR: Se cuenta con una propuesta de cooperación y asistencia técnica especializada para la UBPD en materia de gestión de información para la búsqueda la cual está en revisión de la oficina de gestión del conocimiento y áreas misionales </t>
  </si>
  <si>
    <t>1 acuerdo de cooperación técnica suscrito</t>
  </si>
  <si>
    <t>0 acuerdo de cooperación técnica suscrito</t>
  </si>
  <si>
    <t>Establecer mesa de trabajo con oficinas de Planeación, Gestión de Conocimiento y Gestión Humana</t>
  </si>
  <si>
    <t>Ejecutar, supervisar y monitorear prestación de servicios</t>
  </si>
  <si>
    <t>El 70% de los servidores públicos hacen uso de las herramientas colaborativas</t>
  </si>
  <si>
    <t>El 81,97% de los servidores públicos hacen uso de las herramientas colaborativas</t>
  </si>
  <si>
    <t>3 Activos de información asegurados</t>
  </si>
  <si>
    <t>98,85% de los servicios de TI disponibles</t>
  </si>
  <si>
    <t>100% de procedimientos definidos aplican buenas prácticas</t>
  </si>
  <si>
    <t>0 Procedimientos de TI apoyados con buenas prácticas</t>
  </si>
  <si>
    <t>100% de Procedimientos definidos aplican buenas prácticas</t>
  </si>
  <si>
    <t>Identificar necesidades</t>
  </si>
  <si>
    <t>De acuerdo con la modificación de la estrategia, en coordinación con los líderes de las temáticas, se realizó la priorización de los procedimientos a caracterizar y que soportarán el desarrollo de la gestión de los servicios tecnológicos provistos por la Oficina de TI.
Las acciones realizadas para dar cumplimiento a la actividad incluyeron: 
- Identificación y priorización de los procedimientos a caracterizar (1.Gestión de cambios y 2. Estrategia y Gobierno de TI)
- Desarrollo de ciclo de revisión y validación de las propuestas de los 2 procedimientos programados para entregar en el corte de seguimiento.
- Revisión y ajuste de los procedimientos con la consultoría.</t>
  </si>
  <si>
    <t>2 Procedimientos de TI apoyados con buenas prácticas</t>
  </si>
  <si>
    <t>En el desarrollo de la etapa precontractual se han realizado las siguientes actividades:
1. Estudio de mercado
2. Definición de la ficha de especificaciones técnicas
3. Publicación del prepliego de condiciones
4. Respuestas a las observaciones del prepliego de condiciones
5. Publicación del pliego de condiciones definitivo
6. Respuestas a las observaciones del pliego de condiciones definitivo</t>
  </si>
  <si>
    <t>Brindar acompañamiento a las áreas internas en la identificación de acciones para dar cumplimiento a las políticas de gestión y desempeño que sean aplicables a la entidad.</t>
  </si>
  <si>
    <t>Actualizar los proyectos de inversión de acuerdo al Decreto de liquidación</t>
  </si>
  <si>
    <t>Presentar proyectos al Departamento Nacional de Planeación y el Ministerio de Hacienda y Crédito Público.</t>
  </si>
  <si>
    <t>Implementar la estrategia metodológica del proceso de participación con familiares en el exilio, con enfoques diferenciales, género y psicosocial por parte de los Equipos territoriales y el equipo nacional de participación.</t>
  </si>
  <si>
    <t>160 personas con asesoría, orientación y fortalecimiento para la participación en la búsqueda</t>
  </si>
  <si>
    <t>268 personas con asesoría, orientación y fortalecimiento para la participación en la búsqueda</t>
  </si>
  <si>
    <t>360 personas con asesoría, orientación y fortalecimiento para la participación en la búsqueda</t>
  </si>
  <si>
    <t>145 personas con asesoría, orientación y fortalecimiento para la participación en la búsqueda</t>
  </si>
  <si>
    <t>40 organizaciones de la sociedad civil conocen el trabajo de la UBPD e inician un contacto de relacionamiento</t>
  </si>
  <si>
    <t>Presentar las políticas para su adopción</t>
  </si>
  <si>
    <t>En el desarrollo de este indicador no se requiere hace reporte; sin embargo, hay avances en los siguientes aspectos:
1. Se contrató a un asesor en gestión de conocimiento quien apoya a la Oficina en el levantamiento de información para el mapeo de la gestión del conocimiento para la construcción de la estrategia. 
Se acordó el plan de trabajo y el contrato está en ejecución.</t>
  </si>
  <si>
    <t>1. Documentación del contrato y estudios previos.
2. Plan de trabajo.
3. Actas de reunión</t>
  </si>
  <si>
    <t>Dirección de Información, Planeación y Localización para la Búsqueda</t>
  </si>
  <si>
    <t xml:space="preserve">Subdirección de Análisis, Planeación y Localización para la Búsqueda </t>
  </si>
  <si>
    <t>Identificación de Prácticas de gestión del conocimiento útiles para la UBPD</t>
  </si>
  <si>
    <t xml:space="preserve">Durante el segundo trimestre de 2019, se han adelantado las siguientes gestiones en cuanto a convenios de cooperación: 
1. GIZ: Se cuenta con un plan de cooperación en revisión para apoyar las acciones de:
• Fortalecimiento de la presencia territorial de UBPD en Meta, Caquetá Norte de Santander
• Intercambio de experiencias y capacitación a servidores de la CNB
• Desarrollo de acciones para el posicionamiento internacional de la UBPD (consultorías) 
2. OIM. Se construyó el de Memorándum de entendimiento que suscribirá la UBPD y el aliado, a la fecha está en revisión de la oficina Jurídica y Secretaria General de la UBPD. </t>
  </si>
  <si>
    <t xml:space="preserve">Como sustento de lo planteado anteriormente: se anexan los siguientes documentos de avance para materializar los convenios de cooperación: 
1.Documento técnico de avance de la estructuración del convenio con GIZ 
2. MOU para suscribir con OIM </t>
  </si>
  <si>
    <t xml:space="preserve">Teniendo en cuenta las mesas de trabajo realizadas con las áreas misionales con el fin de plantear a los cooperantes y aliados los ajustes necesarios para avanzar con las actividades de despliegue territorial, a la fecha se cuenta con capacidad instalada en 10 departamentos, lo que incide directamente en la ejecución de los recursos que respaldan estas actividades.
Así mismo, se ha avanzado en la consolidación de la propuesta metodológica para el diseño de Plan de Búsqueda y se espera que en el tercer trimestre se inicien los encuentros nacionales en territorio.
Finalmente, se han realizado las contrataciones que permitirán el desarrollo de las capacitaciones en el territorio en materia de seguridad en clave de prevención. 
En conclusión, durante la vigencia 2019 se han ejecutado el 39.03% de los recursos que se tienen, para efectos de presentación del informe de avance se descontará el porcentaje de avance del primer trimestre que se reportó para poder tener la información que corresponde al segundo trimestre </t>
  </si>
  <si>
    <t>Reporte matriz consolidada de ejecución periodo 1 enero a 30 de junio de 2019</t>
  </si>
  <si>
    <t>31% de los recursos de cooperación internacional ejecutados</t>
  </si>
  <si>
    <t>20% del sistema de gestión diseñado e implementado en el 2019</t>
  </si>
  <si>
    <t>Frente a las herramientas y acciones de gestión de conocimiento se avanzaron las siguientes actividades tenía programadas para el segundo trimestre del año 2019:
• Ontología y glosario básico: con participación de asesores de la Dirección General y de la Subdirección Técnica y Territorial y de delegados de las áreas misionales y estratégicas de la UBPD, se construyó un glosario básico de 23 términos con el objetivo de ser publicado en la página web. Este listado de términos y sus definiciones fue remitido a la Directora General para su revisión y aprobación.
• Memoria institucional: se realizó un documento de avance de la memoria institucional que registra los principales hitos de los avances institucionales en 2018. Se realizó una línea de tiempo para documentarlos.
• Diseño y construcción de insumos de capacitación: La OGC apoyó con el diseño metodológico, instrumentos y piloto para las jornadas de inducción central y territorial realizadas en abril y mayo respectivamente. Frente al Plan de Capacitación se construyó la parrilla que contiene los cursos y ejes temáticos a realizar en 2019.
• Insumos de comunicación y pedagogía: El 9 de abril se realizó el primer conversatorio sobre herramientas y metodologías de comunicación y pedagogía con énfasis en desaparición forzada. Se tuvo la participación de Pilar Navarrete (familiar de víctima de desaparición forzada), Carolina Satizábal (fotógrafa que trabaja el tema) y Fernando González (pedagogo). El taller iba dirigido a la Oficina de Comunicaciones y pedagogía y a la DT de participación contacto con víctimas y enfoque diferenciales.
 • Promoción e intercambio de conocimiento
- Centro Carter: Se concretó la propuesta de apoyo tecnológico. Se realizaron reuniones de coordinación. 
propuesta técnica
 - ICMP: reuniones de coordinación para la estructuración y definición de la propuesta técnica en las tres formas de intercambio: formación y capacitación, repositorios y trabajo con sociedad civil. Se hizo un seminario de presentación del trabajo de mapeo de sociedad civil que realizó ICMP en coordinación con GIZ.
- Fundación de Antropología Forense de Guatemala: Se hicieron reuniones de coordinación para estructurar el intercambio. Se realizó la segunda mea técnica en Bogotá sobre clínica de casos.
- GIZ: Se envió la propuesta para la realización del plan estratégico de capacitación. Se hicieron reuniones técnicas para estructurar el apoyo y la capacitación y formación. 
- JRR: Se hicieron reuniones de coordinación para estructurar la propuesta. Se definieron temáticas con identificación de necesidades
- Universidad Nacional de Colombia: Se avanzaron reuniones de coordinación entre la Universidad Nacional para un trabajo conjunto con los laboratorios de Antropología Forense y Genética y el uso del Centro Marengo para prácticas. Se coordinó la práctica. 
Se le pasó a la Universidad las necesidades de solicitud de prácticas de pasantes.
Se realizó una reunión de coordinación con el Observatorio de Conflicto y Paz de la UNAL para temas de capacitación y temas de información. 
• Insumos política de cuidado:
-Se avanzó en la lectura y se hicieron comentarios a los productos resultado de la consultoría de la comunicación para la paz, específicamente sobre el diagnóstico de flujos de comunicación y los tres módulos de la cartilla “Sembrando una cultura humanitaria al interior de la UBPD”.
-Se hicieron reuniones de retroalimentación de la estrategia de autocuidado emocional y de la participación en la propuesta de estrategias de cuidado y del curso virtual. 
-Se hicieron reuniones de coordinación y estructuración metodológica del entendimiento del cuidado con el objetivo de definir una política para la UBPD. 
-Se hicieron reuniones de coordinación entre las tres consultorías: de cuidado emocional, de comunicación para la paz y de seguridad, en la UBPD. 
-Se participó en el seminario de construcción de diagnóstico del tema de seguridad.</t>
  </si>
  <si>
    <t>Realizar el seguimiento a los acuerdos alcanzados en desarrollo de la articulación interinstitucional.</t>
  </si>
  <si>
    <t>6 entidades con relacionamiento activo con la UBPD</t>
  </si>
  <si>
    <t>Realizar el proceso de selección y vinculación del recurso humano requerido en las territoriales de la UBPD</t>
  </si>
  <si>
    <t>Realizar los diálogos para la construcción del enfoque territorial con los equipos territoriales de las sedes activas de la UBPD.</t>
  </si>
  <si>
    <t>Definir los componentes mínimos del enfoque territorial de la UBPD.</t>
  </si>
  <si>
    <t>Sistematizar los avances de la construcción del enfoque territorial de la UBPD.</t>
  </si>
  <si>
    <t>14% de los lineamientos del enfoque territorial de la UBPD construidos</t>
  </si>
  <si>
    <t>22% de los instrumentos de rendición de cuentas implementados</t>
  </si>
  <si>
    <t>Hito 1. Documentos elaborados para la organización de la audiencia pública y retroalimentación a los que fueron hechos por la OACP; correos electrónicos intercambiados con la creación de documentos y retroalimentación a los avances.
Hito 4. Actualización del informe de gestión y rendición de cuentas, con datos del I trimestre de 2019; formulario para recoger inquietudes de los grupos de valor; guión de la jornada; diapositivas creadas y consolidadas para la audiencia.
Hito 5. Listas de asistencia a la audiencia de rendición de cuentas; transcripción de las preguntas y evaluaciones recibidas (los originales reposan en la OAP); documento de síntesis y respuestas a las preguntas recibidas; documento de autoevaluación de la audiencia (organización y realización).</t>
  </si>
  <si>
    <t>Presentar a la Dirección General de la UBPD, el documento para el proceso de elaboración del Plan Nacional de Búsqueda con participación de la sociedad civil y la coordinación con entidades.</t>
  </si>
  <si>
    <t xml:space="preserve">Coordinar la elaboración de insumos por parte de las direcciones misionales para la construcción del Plan Nacional de Búsqueda </t>
  </si>
  <si>
    <t>1 documento de lineamientos para construcción de plan nacional de búsqueda presentado a la Dirección General de la UBPD</t>
  </si>
  <si>
    <t>1 documento sobre criterios de evaluación y aprobación de los planes regionales de búsqueda presentado a la Dirección General de la UBPD para su aprobación</t>
  </si>
  <si>
    <t>0% de los planes regionales de búsqueda presentados a la Subdirección, evaluados</t>
  </si>
  <si>
    <t>88% de los planes regionales de búsqueda presentados a la Subdirección, evaluados</t>
  </si>
  <si>
    <t>17 matrices de caracterización de actores regionales clave para la búsqueda, diligenciadas</t>
  </si>
  <si>
    <t>0 matrices de caracterización de actores regionales clave para la búsqueda, diligenciadas</t>
  </si>
  <si>
    <t>Identificación de actores clave en territorio y diligenciamiento de la matriz de identificación en las 10 primeras sedes territoriales.</t>
  </si>
  <si>
    <t>Identificación de actores clave en territorio y diligenciamiento de la matriz de identificación en las siguientes 7 sedes territoriales.</t>
  </si>
  <si>
    <t>81 encuentros con entidades e instituciones que conocen el trabajo de la UBPD y con las que se inicia un contacto de relacionamiento en el territorio</t>
  </si>
  <si>
    <t>0 encuentros con entidades e instituciones que conocen el trabajo de la UBPD y con las que se inicia un contacto de relacionamiento en el territorio</t>
  </si>
  <si>
    <t>Sistematizar resultados del diálogo con actores institucionales.</t>
  </si>
  <si>
    <t>10 encuentros con entidades e instituciones que conocen el trabajo de la UBPD y con las que se inicia un contacto de relacionamiento en el territorio</t>
  </si>
  <si>
    <t>0 encuentros de asesoría, orientación, apoyo y fortalecimiento realizadas, de acuerdo a los lineamientos de la dirección de participación</t>
  </si>
  <si>
    <t>120 encuentros de asesoría, orientación, apoyo y fortalecimiento realizadas, de acuerdo a los lineamientos de la dirección de participación</t>
  </si>
  <si>
    <t>0 encuentros colectivos de asesoría, orientación, apoyo y fortalecimiento a familiares realizados</t>
  </si>
  <si>
    <t>10 matrices de caracterización de potenciales fuentes de información territorial que aporten a la búsqueda</t>
  </si>
  <si>
    <t>0 matrices de caracterización de potenciales fuentes de información territorial que aporten a la búsqueda</t>
  </si>
  <si>
    <t>Diseño del instrumento de caracterización de fuentes en territorio</t>
  </si>
  <si>
    <t>Diligenciamiento del instrumento de caracterización de fuentes en territorio</t>
  </si>
  <si>
    <t>2 informes generados en virtud del cumplimiento de protocolos de acceso y protección de información</t>
  </si>
  <si>
    <t>0 informes generados en virtud del cumplimiento de protocolos de acceso y protección de información</t>
  </si>
  <si>
    <t>Identificar las necesidades de instituciones y organizaciones sobre inventario y organización de información.</t>
  </si>
  <si>
    <t xml:space="preserve">60% de información recolectada, sistematizada y centralizada. </t>
  </si>
  <si>
    <t>Se encuentran digitalizados y almacenados, con accesos controlados, en la máquina Workstation SGI-BOG-011 a cargo de la Subdirección de Gestión de Información para la Búsqueda y compartidos; también con control de acceso, en el Drive de trabajo colaborativo "Fuentes de Información" de la DIPLOB.</t>
  </si>
  <si>
    <t>Dentro del análisis de información recibida se han hecho ejercicios de georreferenciación de los sitios donde presuntamente hay existencia de fosas; hay que tener en cuenta que la georreferenciación esta dada con posibles niveles de precisión. En tal virtud se cuenta con un plan de trabajo que servirá de insumo para la contrucción del documento sobre el registro nacional de fosas, cementerios ilegales y sepulturas.</t>
  </si>
  <si>
    <t>2 documentos sobre el universo de personas dadas por desaparecidas en el contexto y en razón del conflicto armado elaborados.</t>
  </si>
  <si>
    <t>0 documentos sobre el universo de personas dadas por desaparecidas en el contexto y en razón del conflicto armado elaborados.</t>
  </si>
  <si>
    <t xml:space="preserve">Se avanzó en la construcción de 4 líneas de investigación adicionales a las 7 inicialmente reportadas para un total de 11 planes que se encuentran en etapa de recolección y análisis de la información. Aproximadamente 20 personas incluidas en estos planes, están ad portas de hacerse proceso de localización para poder entregar el plan correspondiente, por lo cual es importante aclarar que un plan puede involucrar a varias personas desaparecidas pero no necesariamente en la localización se dará cuenta del total de ellas. 
Por otro lado, para este trimestre no se entrega el producto teniendo en cuenta que estamos en proceso de diálogo con la Dirección General para unificar las características y los elementos que debe incluir este plan en fase de localización. </t>
  </si>
  <si>
    <t>8 planes con hipótesis de localización formulados</t>
  </si>
  <si>
    <t>0 planes con hipótesis de localización formulados</t>
  </si>
  <si>
    <t>1 planes con hipótesis de localización formulados</t>
  </si>
  <si>
    <t>100% de ejecución del plan de estudios e investigaciones</t>
  </si>
  <si>
    <t>Desarrollar ejercicios metodológicos para la identificación de lineamientos para los planes de búsqueda.</t>
  </si>
  <si>
    <t>Consolidar el documento sobre lineamientos metodológicos para la formulación de planes de búsqueda.</t>
  </si>
  <si>
    <t xml:space="preserve">Se realizarón actividades administrativas para la compra de los equipos tecnologicos necesarios para desarrollar las actividades de prospección. </t>
  </si>
  <si>
    <t xml:space="preserve">Fichas técnicas de los equipos de arqueología, topografía y geofísica. </t>
  </si>
  <si>
    <t>Se elaborarón formatos anexos al procedimiento de prospección.</t>
  </si>
  <si>
    <t>1. Formato de aseguramiento de prospección. 
2. Formato de informe de prospección</t>
  </si>
  <si>
    <t xml:space="preserve">Se realizarón actividades administrativas para la compra de los elementos, y equipos tecnologicos necesarios para realizar las actividades de recuperación. </t>
  </si>
  <si>
    <t xml:space="preserve">1. Fichas técnicas, 
2. Análisis del sector y 
3. Análisis del mercado. </t>
  </si>
  <si>
    <t>Se elaborarón formatos anexos al procedimiento de recuperación</t>
  </si>
  <si>
    <t>1. Formato de continuidad del aseguramiento de los elementos asociados al cuerpo. 
2. Formato de solicitud de análisis del cuerpo</t>
  </si>
  <si>
    <t>Se terminó el diseño del procedimiento de monitoreo del proceso de identificación</t>
  </si>
  <si>
    <t xml:space="preserve">Cronograma de la capacitación. 
Cronograma de las actividades para los dos departamentos. </t>
  </si>
  <si>
    <t>Se genera informe de uso desde la consola de administración de la plataforma de herramientas colaborativas g-suite para los usuarios activos al segundo trimeste, la cual se analiza de acuerdo al uso en almacenamiento de los usuarios en el Drive, así como la creación o edición de documentos Google y hojas de calculo.</t>
  </si>
  <si>
    <t>Captura de Reporte generado desde la consola de administración g-suite.
Archivo de excel con el analisis del reporte generado por g-suite.
Evidencias disponibles en :https://drive.google.com/drive/folders/10mDi4Lk0gFVV566Wx-zYeVbhumI5ak1y</t>
  </si>
  <si>
    <t>Se realiza configuración y puesta en marcha de los perfiles en la herramienta de mesa de servicio, donde se configurar los permisos para los tecnicos y coordinador de la mesa de servicio.
Se realiza la contratación del aseguramiento de la plataforma GSuite incluido Drive y correo electrónico a través de la Orden de Compra 37853.
Se realiza configuración de reglas iniciales para el aseguramiento de la navegación web en la Entidad.</t>
  </si>
  <si>
    <t xml:space="preserve"> - Informes de gestión y disponibilidad de los servicios por parte del proveedor.
- Libro de excel con el calculo del indicador de acuerdo con los datos entregados por el proveedor.
evidencias disponibles en: https://drive.google.com/drive/folders/1Ycmx7mhtuklQUUTc84cGHDc8PYcTkAYt</t>
  </si>
  <si>
    <t>Se realiza seguimiento a los avances y decisiones en la pertinencia para la adquisición de las herramientas tecnológicas identificadas y probadas por las áreas usuarias. La Subdirección de información y la dirección de Prospección, luego de evaluar los resultados de las pruebas, y la pertinencia y necesidad de adquirir la herramienta de Software OCR, toman la decisión de no adquirir la herramienta de reconocimiento de caracteres. En cambio, Las dos áreas, manifiestan su aprobación para adquirir la herramienta de software de Autodesk Architecture, Engineering Construction Collection la cual está compuesta por un conjunto de herramientas BIM integradas, utilizadas en el diseño asistido por computadora para dibujo 2D y modelado 3D dimensiones, que permite elaborar dibujos, gráficos o planos genéricos, documentar proyectos de ingeniería, arquitectura, mapas y modelamiento de planos. Al final el segundo trimestre, la oficina TIC, junto con las áreas usuarias y la secretaria general, avanzo en la estructuración de los estudios previos, análisis de mercado, solicitud de cotizaciones para la contratación de esta herramienta de software. A la fecha, se encuentra pendiente de aprobación por parte del comité de contratación</t>
  </si>
  <si>
    <t>Se relacionan los documentos que sustentan el avance en la suscripción de convenios de cooperación técnica, los cuales son: 
1. Documento técnico de estructuración convenio Fundación Carter 
2. Documento de proyecto para suscribir con AECID
3. Documento que sustenta el convenio con ICMP
4. Documento técnico de estructuración para la suscripción del convenio con JRR</t>
  </si>
  <si>
    <t>Orden de Compra 37853 - Diagnóstico de seguridad de la plataforma GSUITE
https://drive.google.com/drive/folders/15u4IC6uwNWQC1kvjYm7oVTBD43TxtlYK
Captura Perfiles configurados en Mesa de servicio:
https://drive.google.com/drive/folders/15u4IC6uwNWQC1kvjYm7oVTBD43TxtlYK</t>
  </si>
  <si>
    <t xml:space="preserve">Se presentan 2 incidencias de disponibilidad en el periodo, la primera corresponde al servicio del canal principal de internet por un periodo de 72 horas para una disponibilidad del 90 con numero de caso ETB SD1286150, el segundo caso corresponde al No SD1295518 sobre el canal de internet con una disponibilidad de 98.53 en el mes de mayo , lo que impactó la diponibilidad en el trimestre, para 98,85%. Para los demás servicios no presentaron fallas o incidencias sobre su disponibilidad. </t>
  </si>
  <si>
    <t>“Durante el segundo trimestre de la vigencia, se presentaron respectivamente para los meses de abril, mayo y junio indicadores de cumplimiento del 6.5%, 16% y 7.1%. Para el mes de abril se evidenció un uso adecuado de los recursos programados. Se indica para el mes de mayo y junio un nivel de cumplimiento crítico, para lo cual se presentan los factores que incidieron en dicha situación: 1. En lo correspondiente a las facturas de servicios de conectividad, arrendamiento de equipos y soporte, se tenía estimado y programado por parte del supervisor del contrato el pago de las facturas del consumo o servicios del mes, sin embargo, estas no fueron suministradas en los plazos establecidos para el pago. 2. Dada la dinámica de vinculación de la entidad, la cual no se ha generado en la gradualidad programada, esta situación incidió directamente en la programación de los recursos para el pago de la nómina, en tanto la Subdirección Administrativa y Financiera recibió la programación según la solicitud de la Subdirección de Gestión Humana con un estimado de servidores públicos vinculados, al no cumplirse este hecho de vinculación, no fue posible la ejecución el PAC conforme lo previsto”</t>
  </si>
  <si>
    <t>Reporte de solicitud de PAC y de pagos efectivos realizados cada mes. (SIIF)</t>
  </si>
  <si>
    <t>100% de las solicitudes de bienes y servicios atendidas</t>
  </si>
  <si>
    <t>De conformidad con el análisis del segundo trimestre, se da un cumplimiento subestimado dada la meta establecida y equivalente al 90%, en este orden todas las solicitudes de bienes y servicios recibidas, 28 en total, fueron atendidas. Para el mes de abril se recepcionaron y atendieron 9 solicitudes, en mayo de las 14 solicitudes fueron resueltas al 100%, y en el mes de junio de las 5 solicitudes, fueron atendidas todas en su totalidad”.
Es preciso indicar que la atención se genera en razón a la disponibilidad que se tenga en cuanto a los bienes y elementos, por lo cual tanto las cantidades como solicitudes pueden variar respecto de las entregas en temas asociados en papelería como cafetería. Sin perjuicio de las recomendaciones realizadas por la Oficina Asesora de Planeación en el primer trimestre y que ha bien se tienen presentes, se precisa en el reporte que el proceso cuenta con los controles establecidos en aras de garantizar un monitoreo efectivo en cuanto a las solicitudes de bienes y servicios asociados con la gestión”</t>
  </si>
  <si>
    <t>Para el segundo trimestre, de conformidad con lo programado y equivalente al 0%, se señala para el indicador que, sin perjuicio del dato porcentual reflejado, se han adelantado las siguientes actividades: 1) Se cuenta con un plan de trabajo establecido de Gestión Documental, el cual se encuentra alineado con el plan de acción de la vigencia 2019. 2) De acuerdo con la elaboración de los instrumentos archivísticos PINAR-PGD y primera fase de levantamiento de información de las Tablas de Retención Documental TRD, la ejecución de las mismas serán evidenciadas y reportadas en el tercer trimestre del año. Dado lo anteriormente descrito, la SAF a través del proceso de Gestión Documental se encuentra desarrollando las actividades dentro de los términos acorde con los plazos establecidos conforme al ajuste realizado en el plan de acción 2019</t>
  </si>
  <si>
    <t>De 103 vacantes con las que se inicio el mes de abril de 2019, al 30 de junio de 2019 se reportan 40 vacantes. Estos cargos fueron provistos en las siguientes proporciones por cada uno de los meses del segundo trimestre del año así: 8 cargos provistos en abril, 44 cargos provistos en mayo y 11 cargos provistos en junio; para un total en el trimestre de 63 cargos provistos. Esto da un cumplimiento trimestral del 61%</t>
  </si>
  <si>
    <t>61% de cargos vacantes provistos de manera oportuna</t>
  </si>
  <si>
    <t>Firmar convenios y acuerdos de cooperación financiera o técnica</t>
  </si>
  <si>
    <t>Realizar mapeo de actores y alianzas internacionales</t>
  </si>
  <si>
    <t>Se encuentra en gestión el desarrollo de acuerdos de cooperación técnica con organizaciones internacionales para reforzar las capacidades y transferencia de conocimientos a la entidad en materia de recolección, procesamiento y análisis de información, implementación de enfoque de género e intercambio de experiencias en materia con organizaciones técnico científicas y organizaciones expertas.
Según el reporte financiero de la ejecución de los actuales proyectos y fichas de Cooperación Internacional suscritos por la UBPD realizado por los operadores (PNUD - ICTJ) que entregaron la siguiente información: 
Presupuesto a ejecutar 2019 MPTF (PNUD): 1.353.255 USD
Ejecutado Enero - Marzo 2019: 3.938 USD correspondiente a un 0.3% 
Ejecución acumulada del presupuesto total: correspondiente al 39% (reportado en el informe de indicadores)
Presupuesto a ejecutar Proyecto ICTJ (Embajada de Holanda): 945.580.000 COP 
Ejecución Enero a Marzo de 2019: 74.808.875 COP correspondiente a un 8%
Total de ejecución 1er trimestre 2019: 8.03%</t>
  </si>
  <si>
    <t>Realizar giras internacionales para presentar la UBPD.</t>
  </si>
  <si>
    <t>1. Frente al estado del arte sobre la desaparición de personas en Colombia en contexto y en razón del conflicto armado se avanzó en la búsqueda y recolección de literatura en formato digital sobre la desaparición de personas en contextos de conflictos armados y violencia sociopolítica. En su desarrollo, se ha dado énfasis a la información sobre procesos de búsqueda humanitarios y/o extrajudiciales, el rol de las familias o allegados en la búsqueda, las tendencias y principales debates de los procesos humanitarios de búsqueda de personas en escenarios de justicia transicional, así como las pautas, experiencias y metodologías sobre la incorporación de enfoques diferenciales en la búsqueda. Esta primera búsqueda arrojó como resultado 449 documentos (artículos, libros, informes) sobre desaparición forzada y 194 sobre reclutamiento y utilización de niños, niñas y adolescentes. Esta documentación se encuentra en proceso de depuración para evaluar la pertienencia.
Así mismo se avanzó en la redacción de cinco (5) fichas analíticas para el caso de desaparición forzada, cinco (5) fichas sobre reclutamiento y un informe de avance. 
2. Durante el segundo trimestre se realizaron estos apoyos puntuales:
2.1 A la Dirección General:
 • Se realizó un documento en donde se hace un análisis de las diferencias entre la búsqueda desde la óptica judicial y la búsqueda desde una perspectiva humanitaria y extrajudicial, resaltando la diferencia de lo que implica la existencia de una entidad estatal con naturaleza humanitaria y extrajudicial, única en el mundo. Así mismo, la OGC apoyó al equipo de asesores en la realización de una propuesta sobre “los aportes de la búsqueda de personas dadas por desaparecidas en el contexto y en razón del conflicto armado en Colombia en el marco de la justicia transicional como camino hacia la construcción de paz” con miras a tener un documento más elaborado sobre el tema. 
• El miércoles 22 de mayo se representó a la UBPD en el II seminario “Formemos Memoria “conversaciones y manifestaciones artísticas como estrategia de reparación simbólica y no repetición”. Se presentó de la ponencia “la UBPD como fundamento de una acción colectiva en la construcción de paz”.
• Diálogos circulares: la intención de estos diálogos es generar un espacio de acercamiento y diálogo entre la Directora General y los equipos de la UBPD. Estos talleres tuvieron lugar inicialmente con los tres equipos misionales el 12 de abril en una jornada continua.
• Planeación estratégica: la Directora solicitó un planteamiento de enfoque estratégico desde las metas de la Dirección General. Se realizó una propuesta de semáforo de enfoque. A partir de esta discusión se empezó a coordinar un trabajo con la Oficina Asesora de Planeación para definir la contratación de un consultor en este tema.
2.2. A otras áreas: 
• Apoyo a la Subdirección Técnica y Territorial, con la realización de los estudios de confiabilidad para las personas a contratar en 8 ciudades.
• Dirección Técnica de Participación, contacto con víctimas y enfoques diferenciales: Se está realizando un acompañamiento para evaluar cómo se percibe la metodología de participación de esta Dirección técnica en su relación con familiares y allegados de las personas dadas por desaparecidas en contexto y razón del conflicto armado.</t>
  </si>
  <si>
    <t>* Estado del arte sobre la desaparición de personas en Colombia en contexto y en razón del conflicto armado.
* 10 fichas analíticas en Word.
* 1 informe de avance.
Apoyos puntuales:
Dirección General:
* 1 documento con el cuadro comparativo sobre el cambio de paradigma.
* 1 presentación de la búsqueda judicial a la búsqueda humanitaria y extrajudicial.
* 1 propuesta comentada por OGC sobre “los aportes de la búsqueda de personas dadas por desaparecidas en el contexto y en razón del conflicto armado en Colombia en el marco de la Justicia Transicional como camino hacia la construcción de paz”.
* 1 documento con la ponencia “la UBPD como fundamento de una acción colectiva en la construcción de paz”Programación y afiche publicitario del seminario Formemos Memoria “conversaciones y manifestaciones artísticas como estrategia de reparación simbólica y no repetición”.
Dialogos circulares:
* 3 presentaciones que contienen la metodología y agenda por equipos.
* Un informe ejecutivo de las jornadas, con tres listados de asistencia.
* 1 presentación que contiene el insumo presentado a la Directora General.
Otros:
* 1 acta de reunión de coordinar un trabajo con la Oficina Asesora de Planeación para la Planeación estratégica.
* Conceptos de confiabilidad realizados en el marco del apoyo a la Subdirección Tecnica y Territorial.
* 2 Actas de reunión y listados de asistencia de las reuniones sostenidas con la b. Dirección Técnica de Participación, contacto con víctimas y enfoques diferenciales.</t>
  </si>
  <si>
    <t>Desarrollar los planes de trabajo por estudios</t>
  </si>
  <si>
    <t>Realizar discusión sobre los resultados de los estudios</t>
  </si>
  <si>
    <t>Diseño de la estrategia de gestión de conocimiento</t>
  </si>
  <si>
    <t>Diagnóstico del proceso de creación, circulación, uso y apropiación del conocimiento de la UBPD</t>
  </si>
  <si>
    <t>100% de herramientas para la creación, el flujo, la apropiación y el uso del conocimiento en la UBPD, implementadas</t>
  </si>
  <si>
    <t>12,5% de las herramientas para la creación, el flujo, la apropiación y el uso del conocimiento en la UBPD, implementado</t>
  </si>
  <si>
    <t>De acuerdo a la planeación de la Oficina de Gestión de Conocimiento para el desarrollo de las cinco herramientas propuestas en el Plan de Acción, al primer trimestre de 2019 se presenta el protocolo y puesta en marcha del Centro documental. 
Adicionalmente, en herramientas para la gestión del conocimiento se ha venido trabajando en los siguientes temas:
1. Memoria institucional.
2. Plan Institucional de Capacitación
3. Construcción del glosario institucional y ontología conceptual de la UBPD.
4. Promoción del conocimiento al interior de la UBPD
5. Estrategias de comunicación y pedagogía</t>
  </si>
  <si>
    <t>27,5% de las herramientas para la creación, el flujo, la apropiación y el uso del conocimiento en la UBPD, implementado</t>
  </si>
  <si>
    <t>El 75,7% de los servidores públicos vinculados a diciembre de 2018 hacen uso de las herramientas colaborativas</t>
  </si>
  <si>
    <t>En coordinación con los líderes de las temáticas, se realizó la identificación y priorización de los procedimientos a caracterizar y que soportarán el desarrollo de la gestión de los servicios tecnológicos provistos por la Oficina de TI.
Las acciones realizadas para dar cumplimiento a la actividad incluyeron: 
- Identificación y priorización de los procedimientos a caracterizar
- Desarrollo de ciclo de revisión y validación de las propuestas de los 4 procedimientos programados para entregar en el corte de seguimiento.
Se tiene un avance de aproximadamente el 50% en la creación de los siguientes procedimientos: 
1. Procedimiento para la identificación y mantenimiento de servicios de TI, 
2. Procedimiento atención solicitud de servicios de TI, 
3. Procedimiento gestión de cambios. y 
4. Procedimiento Políticas de Seguridad.</t>
  </si>
  <si>
    <t>Las evidencias asociadas al cumplimiento de la actividad se encuentran ubicadas en la carpeta compartida en drive: Unidades de equipo --&gt;Oficina TIC --&gt; 4.Calidad--&gt;Revisión consultoría --&gt; Gestión de servicios Tecnológicos--&gt; Procedimiento Gestión Cambios. Enlace https://drive.google.com/drive/folders/1ljiiOCG131l61FkZHuwA5E1Ivh0VQmpg y Oficina TIC --&gt; 4.Calidad--&gt;Revisión consultoría --&gt; Procedimiento EGTI, enlace https://drive.google.com/drive/folders/1rGZ5jhDGO2_UTZSZGlDxXQXOLDd2Qvea</t>
  </si>
  <si>
    <t>https://drive.google.com/drive/folders/1uv-wWJPr6-y3PUZ00tMiGmht8P6mYIxh en esta ruta esta la copia de los estudios previos de la herramienta Autodesk Architecture, Engineering Construction Collection la cual está en curso de adquisición
https://drive.google.com/drive/folders/1k_l9Mb1872pw-92UPsrWtFXcHt5fYYED en esta ruta esta los distintos correos que muestran la gestión realizada con las pruebas y decisiones de adquisición de las herramientas de software</t>
  </si>
  <si>
    <t xml:space="preserve">Producir, postproducir, distribuir y difundir las piezas pedagógicas y comunicativas de la estrategia de sensibilización y movilización en radio y televisión, nacional y digital. </t>
  </si>
  <si>
    <t>Elaborar los procesos, procedimientos y demás documentos de sistema de gestión de la UBPD</t>
  </si>
  <si>
    <t>1. Se adjunta reporte de SIIF Nación con ejecución presupuestal con corte a 31 de enero 28 de febrero y 30 de Marzo.</t>
  </si>
  <si>
    <t>Los avances con respecto a los hitos que se reportan en este periodo son:
Hito 1. La OAP ha asumido de manera muy directa la labor de apoyar la definición de la estrategia de rendición de cuentas, para lo cual convocó las reuniones que fueron necesariar para planear detalladamente la I audiencia pública al respecto y dar orientación sobre las características mínimas y las posibilidades que podía tener esta actividad. Así mismo, lideramos la interlocución con otras áreas para esta labor y se iniciaron las acciones para conformar el Comité que definirá la estrategia en su totalidad.
Hito 4. Además de difundir la información de 2018, se consolidó una actualización del informe de gestión y rendición de cuentas, con datos correspondientes al I trimestre de 2019, teniendo en cuenta que la I audiencia se realizaría en junio. Se diseñó un formulario para recoger inquietudes de los grupos de valor y, con base en ellos, se construyó la estructura de la audiencia y se creó el guión de la jornada.
Hito 5. Se organizó, convocó y realizó la I audiencia pública de rendición de cuentas de la entidad el 19 de junio de 2019, con la participación de 158 personas y transmisión en directo vía streaming. Las preguntas (46) y las evaluaciones (31) recibidas, se respondieron en un documento que está en proceso de publicación en la página web. También se hizo un documento de autoevaluación que fue presentado a la Dirección General. Esta información alimentará la consolidación de la estrategia de RC.</t>
  </si>
  <si>
    <t>100% de avance en el seguimiento de la implementación del Sistema de Control Interno</t>
  </si>
  <si>
    <t xml:space="preserve">Asesorar la formulación y seguimiento de planes de mejoramiento a las áreas. </t>
  </si>
  <si>
    <t>Realizar reunión con las diferentes áreas de la entidad con el propósito de establecer los riesgos que pueden generar posibles acciones judiciales en contra de la UBPD.</t>
  </si>
  <si>
    <t>Solicitar la parametrización en el Sistema eKOGUI de la causa general por la que se configura el riesgo, si a ello hubiere lugar.</t>
  </si>
  <si>
    <t>Consolidación y seguimiento a la articulación interinstitucional de la UBPD con actores clave</t>
  </si>
  <si>
    <t xml:space="preserve">70% de protocolo de información construido. </t>
  </si>
  <si>
    <t>Diseñar de plan operativo para el funcionamiento de las áreas misionales a cargo de la subdirección</t>
  </si>
  <si>
    <t>Desde el mes de marzo la SGTT está realizando el proceso de selección de los equipos territorial. El resultado del avance será registrado durante el segundo trimestre de 2019</t>
  </si>
  <si>
    <t>Formulación participativa del enfoque territorial de la UBPD</t>
  </si>
  <si>
    <t>Presentar a la Dirección General de la UBPD una propuesta de cronograma, metodología y componentes mínimos que debe contener el proceso de construcción del plan nacional de búsqueda.</t>
  </si>
  <si>
    <t>Lineamientos Técnicos para Planes de Búsqueda.</t>
  </si>
  <si>
    <t>Lineamientos para la evaluación de planes regionales de búsqueda</t>
  </si>
  <si>
    <t xml:space="preserve">Identificación y caracterización de actores territoriales para la búsqueda </t>
  </si>
  <si>
    <t xml:space="preserve">Evaluación y monitoreo de contextos de riesgo territorial. </t>
  </si>
  <si>
    <t xml:space="preserve">Revisar y proponer estructura de información primaria y secundaria recogida por la UBPD. </t>
  </si>
  <si>
    <t>Se han desarrollado reuniones internas de trabajo para abordar la elaboración de los documentos sobre el universo de personas dadas por desaparecidas en el contexto y en razón del conflicto armado. En tal sentido, se inició la construcción de un documento con consideraciones para la planeación de la conformación de este universo. En este documento se propone el entendimiento de la UBPD sobre lo que es el universo, sus objetivos, usuarios, algunos antecedentes internacionales en la materia y los principales retos para su conformación.</t>
  </si>
  <si>
    <t>Se avanzó en la construcción de rutas para 7 líneas de investigación que están relacionadas con la búsqueda de grupos de personas desaparecidas por un mismo actor en un periodo. Cinco de estos planes están focalizados en municipios de los siguientes departamentos del país: 1) San Carlos de Guaroa (Meta) , 2) Bagadó (Chocó), 3) San Vicente del Caguán, Cartagena del Chairá, Solano, Montañita, Milán, Doncello, Puerto Rico y Paujil (Caquetá) ,4) Sevilla (Valle del Cauca) y 5) Nariño. Las rutas de investigación restantes corresponden a situaciones que abarcan una dinámica nacional, estos dos planes son los de personas retenidas ilegalmente por las FARC cuyo paradero sigue siendo desconocido y aproximación a la construcción de planes relacionados con los 16 lugares objeto de medidas cautelares.</t>
  </si>
  <si>
    <t>1. Debido a que la información que fue usada para la construcción de estos planes es confidencial, las rutas de trabajo y los informes de avance investigativo (soportes de avance) se encuentran en una carpeta en Drive denominada "Rutas de investigación 31/03/2019": https://drive.google.com/drive/folders/1QERZ18FKv2x52sXk6z7xDktGrnHYdBOQ. Esta carpeta contiene a su vez 7 subcarpetas con cada una de las rutas de investigación mencionadas: 1) San Carlos de Guaroa (Meta) : https://drive.google.com/drive/folders/14UQvMzLCwPHf-oD3fH6sFrKAGUQEqG6i ; 2) Bagadó (Chocó) : https://drive.google.com/drive/folders/1FiqVBk4diagYbvjgdNtXOjOpazV0FHp2 ; 3) Caquetá: https://drive.google.com/drive/folders/1H0bpyIXrWdG8EzFnOJ_LauoCldftp7sW ; 4) Sevilla (Valle del Cauca): https://drive.google.com/drive/folders/1KM-59FqPGLF29j6mDjaP80sWXUsSfvXj; 5) Nariño: https://drive.google.com/drive/folders/10jh-RCkRGnGoaImdSF2iAUj6TJPYa1Qq; 6) personas retenidas ilegalmente por las FARC cuyo paradero sigue siendo desconocido: https://drive.google.com/drive/folders/1sG5jg2Z7whGG5lMj9CgqNsMHNFopYPm0 y 7)aproximación a la construccion de planes relacionados con los 16 lugares objeto de medidas cautelares: https://drive.google.com/drive/folders/1AMPuau0IEXizO81BVNXnXrfOcq8zM_PA</t>
  </si>
  <si>
    <t xml:space="preserve">Documentar subprocesos y procedimientos de información, planeación y localización. </t>
  </si>
  <si>
    <t>Diagnosticar el proceso de identificación Instituto Nacional de Medicina Legal y Ciencias Forenses.</t>
  </si>
  <si>
    <t>Socializar el diagnóstico del proceso de identificación de Instituto Nacional de Medicina Legal y Ciencias Forenses.</t>
  </si>
  <si>
    <t xml:space="preserve">Se realizaron las actividades para el desarrollo de la prueba piloto del diagnostico del estado de identificación en los departamentos de Nariño y Norte de Santander. </t>
  </si>
  <si>
    <t>Base registro proceso de participación.
Base Diálogos Colectivos
Base de registro unificada de la DIPL.Ruta E:\lordonezg\Documents\Back Up's\Respuestas Solicitudes\Solicitudes (respuestas) 30-06-19.xlsx</t>
  </si>
  <si>
    <t xml:space="preserve">Participar en la definición de contenidos para la elaboración de piezas comunicativas y material pedagógico para el proceso de participación </t>
  </si>
  <si>
    <t>1. Documento Flujograma Reencuentro 
2. Documento Descripción Flujograma de Reencuentro</t>
  </si>
  <si>
    <t>Se estableció un cronograma de trabajo interno de la DPCVED para realizar los lineamientos de Reencuentro con enfoques diferenciales, género y psicosocial. De acuerdo a la construcción de la meta y su fórmula de cálculo no se han realizado Reencuentros dado que los mismos no han sido solicitados.</t>
  </si>
  <si>
    <t>Realizar los reencuentros solicitados</t>
  </si>
  <si>
    <t>Realizar el 100% de las entregas dignas solicitadas.</t>
  </si>
  <si>
    <t>Se estableció un cronograma de trabajo interno de la DPCVED para realizar los lineamientos de Entrega Digna con enfoques diferenciales, género y psicosocial. De acuerdo a la construcción de la meta y su fórmula de cálculo no se han realizado Entregas Dignas dado que los mismos no han sido solicitados.</t>
  </si>
  <si>
    <t xml:space="preserve">Realizar las entregas dignas solicitadas </t>
  </si>
  <si>
    <t>Elaborar participativamente los lineamientos de participación, enfoques diferenciales (NNJ, persona mayor - generacional, étnico y discapacidad), género y psicosocial de los procesos de la UBPD.</t>
  </si>
  <si>
    <t>5 lineamientos de participación y enfoques diferenciales, étnico, género y psicosocial construidos</t>
  </si>
  <si>
    <t>0 lineamientos de participación y enfoques diferenciales, étnico, género y psicosocial construidos</t>
  </si>
  <si>
    <t xml:space="preserve">En el proceso de construcción de los lineamientos de los Enfoques Diferenciales y de Género, la UBPD ha llevado a cabo varias actividades que contribuyen a la consecución de dicho objetivo: 
Firmó el “Protocolo de Relacionamiento y Coordinación entre la UBPD y los Pueblos Indígenas de Colombia” y el “Protocolo para la Coordinación y Articulación de la Reparación Integral, Restaurativa y Transformadora de los Pueblos Indígenas de Colombia”. Con dichos instrumentos, la UBPD incluyó en sus obligaciones, el respeto por la cultura y la cosmovisión de los Pueblos Indígenas de Colombia, así como por su territorio, en el marco de las labores de búsqueda y localización de personas dadas por desaparecidas. 
Con relación a los demás enfoques diferenciales y de género, la UBPD produjo un documento inicial de principios y conceptos de cada uno de los enfoques. Este instrumento permitió avanzar en las discusiones que debe desarrollar la institución para la formulación de los lineamientos de los enfoques diferenciales, recogiendo las experiencias previas tanto a nivel internacional como de otras entidades estatales.
Finalmente, la DPCVED trabajó en la elaboración de los estados del arte y mapeos de actores, que permitirán la construcción de apuestas conceptuales, metodológicas e instrumentos de recolección de información para la puesta en marcha de la fase de participación ciudadana en la construcción de los lineamientos de los enfoques.
</t>
  </si>
  <si>
    <t>En el proceso de construcción de los lineamientos de los Enfoques Diferenciales y de Género, la DPCVED ha llevado a cabo varias actividades y el desarrollo de insumos conceptuales que contribuyen a la consecución de dicho objetivo:
• En el Enfoque Étnico Pueblo- Rrom, se desarrolló toda la preparación, pre-consulta y despliegue territorial de la Consulta Previa con el Pueblo Rrom de la mano de las entidades del Sistema Integral de Verdad, Justicia, Reparación y No Repetición (JEP_CEV_UBPD) y con el apoyo del Ministerio del Interior en 11 territorios con las diferentes Kumpañy identificadas. En dicha Consulta se socializó y se validó el documento propuesta de Ruta de Relacionamiento entre la UBPD y el Pueblo Rrom, donde se reconoce como aporte la definición de formas de interlocución y comunicación con la UBPD y las Kumpañy, se resalta como un aporte de la propuesta el reconocimiento de las tradiciones, usos, costumbres y cosmología propia del pueblo Rrom y se estableció con la mayoría de las Kumpañy que, por lo pronto, no se identifican personas del pueblo Rrom desaparecidas. 
• Con relación al Enfoque Étnico- Afrocolombiano, se avanzó en el relacionamiento con organizaciones nacionales de las comunidades afrocolombianas como el CONPA o el Movimiento de Mujeres Negras a través de diferentes escenarios para el diseño de un Encuentro Nacional de construcción participativa de los lineamientos en el mes de agosto en Cali y en el marco de la Semana de la Afrocolombianidad con los tres mecanismos del SIVJRNR.
• A su vez, en el Enfoque Étnico- Indígena se instaló el Órgano de Interlocución y Coordinación entre la UBPD y el Movimiento Nacional Indígena establecido en la Consulta Previa como parte de la implementación del Protocolo de Relacionamiento y Coordinación de la UBPD con Pueblos Indígenas. 
• Con relación al Enfoque de Género- Mujeres, desde la UBPD se avanzó en líneas de cooperación internacional con ONU Mujeres para el desarrollo de un proyecto territorial en Vista Hermosa y otras acciones de fortalecimiento de la UBPD (formación, encuentros con mujeres y organizaciones, entre otras) y se definió la articulación con la CEV para desarrollar en el mes de agosto un Encuentro por la Verdad para el Reconocimiento a la persistencia de las mujeres que lideran la búsqueda de personas dadas por desaparecidas en razón y en el contexto del conflicto armado.
• En el Enfoque de Género- LGBTI, como parte de la estrategia de convocatoria para los Encuentros Regionales de construcción de los lineamientos para la incorporación del enfoque en el proceso de búsqueda y participación, desde la DPCVED se participó en eventos de reflexión académica y diálogo con víctimas LGBTI de la Plataforma LGBTI por la Paz y la Mesa LGBT de la Comuna 8 de Medellín. 
• Desde el Enfoque de Niños, Niñas y Jóvenes, se acompañó y desarrolló la propuesta metodológica del Encuentro Internacional: Palabras con Eco: Derechos de la Niñez y la Justicia Transicional con UNICEF y el SIVJRNR, y se abrieron escenarios de diálogo con la organización BENPOSTA Nación de Muchachos y Grupo Consultor de Adultos desvinculados, desde los cuales se identificaron algunas solicitudes de búsqueda de personas dadas por desaparecidas y la idea de que ellos como colectivo participen en los encuentros regionales de construcción de los lineamientos. 
Finalmente, en el marco del Proyecto ICTJ y Embajada de Holanda se logró culminar la construcción de los documentos de Estado del Arte - Comprensiones desde los Enfoques Diferenciales y de Género acerca de la participación en los procesos de búsqueda de personas dadas por desaparecidas con ocasión del conflicto armado, un insumo necesario para el diseño de metodologías pertinentes y formulación de hipótesis de trabajo en el proceso de construcción de los lineamientos de los EDyG para los procesos de participación en la búsqueda. Además, se desarrollaron las Propuestas Metodológicas para los Encuentros Regionales de construcción participativa de dichos lineamientos y se definieron estrategias para la convocatoria.</t>
  </si>
  <si>
    <t>Estados del Arte: 
Comprensiones desde los Enfoques Diferenciales y de Género acerca de la participación en los procesos de búsqueda de personas dadas por desaparecidas con ocasión del conflicto armado
• Doc. Enfoque de Género Capítulo Mujeres
• Doc. Enfoque de Género Capítulo LGBTI.
• Doc. Enfoque Étnico Afrocolombiano
• Doc. Enfoque Étnico-Indígena.
• Doc. Enfoque de Personas con Discapacidad.
• Doc. Enfoque de Niños, niñas y jóvenes.
• Doc. Enfoque de Personas Mayores
Propuestas metodológicas: Encuentros regionales Enfoques Diferenciales y de Género
• Doc. Enfoque Étnico Afrocolombiano
• Doc. Enfoque de Personas con Discapacidad.
• Doc. Enfoque de Niños, niñas y jóvenes.
Estrategias de convocatoria y propuestas de Estrategias de Participación Enfoques Diferenciales y de Género:
• Presentación Propuesta Estrategias de Participación Género y Afrocolombiana
• Estrategia de Convocatoria Enfoque de Personas con Discapacidad a Encuentros Regionales.
• Estrategia de Convocatoria Enfoque de Niños, Niñas y Jóvenes a Encuentros Regionales.
• Estrategia de Convocatoria Enfoque de Comunidades Afrocolombianas a Encuentros Regionales.
Enfoque Étnico Pueblo- Rrom:
• Acta Pre-Consulta Previa Pueblo Rrom.
• Informe Despliegue Territorial de la Consulta del Pueblo Rrom
• Propuesta Ruta de Coordinación entre UBPD y Pueblo Rrom. 
• Presentación Propuesta Ruta de Coordinación entre UBPD y Pueblo Rrom. 
Enfoque Étnico- Comunidades Afrocolombianas: 
• Propuesta: Diálogo del SIVJRNR con organizaciones sociales en el marco de la Semana de la Afrocolombianidad.
Enfoque Étnico- Pueblos Indígenas: 
• Informe de comisión de Jornada de Trabajo con el Cabildo Indígena San Lorenzo en Riosucio, Caldas
• Acta Primera Sesión de Órgano de Interlocución y Coordinación entre la UBPD y el Movimiento Nacional Indígena. 
Enfoque de Género- Mujeres: 
• Acta de Comité de Gestión: Proyecto ONU Mujeres- Vista Hermosa/Meta: Acompañamiento a la implementación de un Modelo territorial de garantías de no repetición y de empoderamiento de mujeres y jóvenes para su acceso efectivo al Sistema Integral de Verdad, Justicia, Reparación y No Repetición –SIVJRNR 
• Documento: Perfil del Proceso de reconocimiento a la persistencia de las mujeres que lideran la búsqueda de personas dadas por desaparecidas en razón y en el contexto del conflicto armado. Articulación con la Comisión para el Esclarecimiento de la Verdad –CEV-
Enfoque de Género- LGBTI:
• Documento: Perfil de Proyecto Congresos Regionales LGBTI por la Paz 2019
• Presentación Enfoque de Género para Congreso Regional LGBTI por la paz en Florencia, Caquetá.
• Informe de comisión del Evento Congreso Regional LGBTI por la paz en Florencia, Caquetá.
• Agenda: Evento: ¿Quién reclama estas vidas? Sectores LGBTI hablan de verdad, justicia y reparación en Medellín.
• Documento Propuesta UBPD: Evento: ¿Quién reclama estas vidas? Sectores LGBTI hablan de verdad, justicia y reparación en Medellín.
Enfoque de Niños, Niñas y Jóvenes: 
• Documento Propuesta: Encuentro Internacional: Palabras con Eco: Derechos de la Niñez y la Justicia Transicional.
• Presentación Propuesta: Encuentro Internacional: Palabras con Eco: Derechos de la Niñez y la Justicia Transicional
• Memoria Diálogo con la Organización Benposta Nación de Muchachos. 
• Diseño Metodológico: Diálogo con la Organización Benposta Nación de Muchachos.</t>
  </si>
  <si>
    <t>Socializar periódicamente los avances sobre lineamientos de participación y enfoques diferenciales, género y psicosocial en los procesos de lla UBPD.</t>
  </si>
  <si>
    <t>Participación de la sociedad civil en los procesos de búsqueda</t>
  </si>
  <si>
    <t xml:space="preserve">Durante el segundo trimestre de 2019 la DPCVED continuó con su estrategia de relacionamiento con organizaciones de la sociedad civil, desarrollando reuniones con 8 nuevas organizaciones, con la participación de 191 personas: FASOL, GEPU UniValle, PRORROM, LGBTI POR LA PAZ, CABILDO SAN LORENZO, FUNDACIÓN YOVANY QUEVEDO, BENPOSTA y CORPORACIÓN DE DESARROLLO Y PAZ DEL MAGDALENA MEDIO. Se aclara que el dato anterior no incluye el relacionamiento realizado por los equipos territoriales de la UBPD, debido a que la Subdirección General Técnica y Territorial (SGTT) se encuentra en proceso de verificación y consolidación de la información, por lo mismo, el dato reportado no podría tomarse como final o definitivo.
Además, de las reuniones mencionadas, entre abril y junio la DPCVED también continuó su relacionamiento con: Familiares Colombia Por el Apoyo Mutuo, Los Que Faltan, CONPA, ACOMIDES, REINICIAR, CREDHOS, MOVICE, ASFADDES y la Secretaría Técnica de la Comisión de Derechos Humanos de Pueblos Indígenas, a las que asistieron con 70 personas.
Ahora bien, el desarrollo del relacionamiento con las organizaciones señaladas dejó en evidencia que la UBPD tiene cuatro retos: i) profundizar en el conocimiento que tiene sobre las experiencias y expectativas de la comunidad LGBTI y la población étnica en torno a la desaparición y procesos de búsqueda; ii) realizar actividades conjuntas que favorezcan la aplicación de los enfoques diferenciales, de género y psicosocial; iii) activar redes de apoyo visibles y legítimas en los territorios, y; iv) establecer mecanismos claros de relacionamiento entre las organizaciones y los equipos territoriales de la UBPD. </t>
  </si>
  <si>
    <t>1. Convenio Interadministrativo firmado entre la UBPD y la Universidad Nacional, con el objeto de "Aunar esfuerzos académicos, técnicos, tecnológicos y recursos físicos y humanos interinstitucionales en actividades académicas de especial interés para las partes, prestándose en forma recíproca colaboración, acompañamiento, formación y apoyo en los objetivos y funciones, con miras al logro de sus fines y al aprovechamiento racional y óptimo de sus recursos en beneficio común, de la comunidad y la construcción de paz en el país.".</t>
  </si>
  <si>
    <t xml:space="preserve">Si bien la ejecución sigue siendo muy baja respecto de las metas propuestas para el cierre del segundo trimestre del año, es de destacar que a 30/06/2019, se reflejan compromisos por valor de $17.418.427.682, recursos sobre los cuales se reportará ejecución al tercer trimestre del año. 
Teniendo en cuenta los avances en la etapa precontractual de varios procesos que comprometen importantes recursos, se espera que al cierre del año se acerquen los porcentajes de ejecución presupuestal reales, con los fijados en el Plan de Acción. </t>
  </si>
  <si>
    <t>3 Reportes de ejecución presupuestal del segundo trimestre de 2019 (abril, mayo y junio 2019)</t>
  </si>
  <si>
    <t>Adquirir y proveer los bienes y servicios según la disponibilidad de recursos.</t>
  </si>
  <si>
    <t>De conformidad con el indicador para el segundo trimestre del cual se tiene como meta programada el 21%, se indica un cumplimiento óptimo y superior al planeado correspondiente al 31% de lo cual se evidencia la ejecución de las siguientes actividades y las cuales se encuentran alienadas con los hitos establecidos para el proceso que se describen a continuación: 1) Elaboración del documento de política de Servicio al Ciudadano: se cuenta con un avance porcentual esperado y programado igual al 10%, de lo cual media como evidencia el documento elaborado conforme la política de operación de servicio al ciudadano y sus componentes estratégicos. 2) Trámite de ajustes al documento: documento fue objeto de recomendaciones, aclaraciones y ajustes del cual conforme lo programado presenta el avance respetivo al 3%. 3) Presentación de la Política de Servicio al Ciudadano al comité de Gestión: el documento elaborado fue presentado para revisión en el Comité de Gestión llevado a cabo el día 25 de junio de 2019, de lo cual media acta y soporte de agenda de convocatoria, sin perjuicio de lo anterior y conforme las recomendaciones recibidas, se realizan las respectivas validaciones para ser presentado en el comité siguiente y cuyo reporte se evidenciará en el tercer trimestre de la vigencia; corresponde a este un avance del 3%. 4) Elaboración del acto administrativo para su adopción: no se encuentra programado para el presente trimestre porcentaje de avance. 5) Implementación de la política: no se encuentra programado para el presente trimestre porcentaje de avance. 6) Diseñar el plan de servicio al ciudadano: El plan de trabajo de Servicio al Ciudadano fue elaborado, aprobado y está en estado de ejecución, en razón a lo anterior se logra el 10% de cumplimiento. 7) Presentar el plan para aprobación: el plan de trabajo se encuentra aprobado por la Secretaría General y la Subdirección Administrativa y Financiera de lo cual media acta de validación del 13 de junio de 2019, en este orden se cumple con el porcentaje del 10% establecido y programado para el tercer trimestre lo que denota el avance superior ejecutado para el presente reporte. 8) Realizar seguimiento al plan de servicio al ciudadano: De conformidad con la programación establecida el reporte será presentado en el tercer trimestre.
Se deja constancia que mediante memorando No. 18162019-210-3-694 de fecha 18/06/2019, fue remitida la politica de servicio al ciudadano por parte de la SAF a la OAJ para su correspondiente revisión. Texto respecto del cual, a la fecha no se cuenta con ningún pronunciamiento.</t>
  </si>
  <si>
    <t>% del Sistema de Seguridad y Salud en el trabajo implementado</t>
  </si>
  <si>
    <t>• Ontología y glosario básico: 
1 documento Word con el glosario para revisión.
2 documentos (Word y Excel) con el listado de términos iniciales.
Correo a la Directora General.
 • Memoria institucional:
1 documento Word con el avance de la memoria institucional.
Línea de tiempo.
 • Diseño y construcción de insumos de capacitación: 
Parrilla de capacitación.
Informes de capacitación.
• Insumos de comunicación y pedagogía: 
1 documento con las notas del conversatorio.
•Promoción e intercambio de conocimiento.
- Centro Carter: actas de reunión.
- ICMP: Actas de reunión.
- Fundación de antropología Forense de Guatemala:Actas de reunión y listado de asistencia.
- GIZ:Propuesta.
Actas de reunión.
- JRR: Actas de reunión.
- Universidad Nacional de Colombia: Actas de reunión y coordinación.
 • Insumos política de cuidado:Actas de reunión.</t>
  </si>
  <si>
    <t>Los documentos de evidencia se encuentran en proceso de construcción colaborativo entre las dependencias involucradas (OTI y Subdirección de Información para la búsqueda) 1. Plan de accion --&gt; 1. Vigencia 2019 --&gt; Estrategia y Gobierno de TI efectivo --&gt; Junio y se encuentran en el enlace 
https://drive.google.com/drive/folders/1vJ0Xh5ygcQMi4rMxJsLkS4tgQ9H5bBeV</t>
  </si>
  <si>
    <t xml:space="preserve">Lineamientos de participación y enfoques diferenciales, género y psicosocial para los procesos de la UBPD </t>
  </si>
  <si>
    <t xml:space="preserve">Se construyó el logo y la imagen institucional de la UBPD; se construyó la estrategia de comunicaciones y pedagogía; se lograron acercamientos y alianzas con diferentes medios de comunicación; se realizó la identificación de necesidades pedagógicas con las diferentes áreas de la UBPD, así como la propuesta de contenidos y piezas pedagógicas para el acceso al mecanismo; se inició la Fase Exploratoria de la Estrategia Círculo de Saberes en territorio; se elaboraron diferentes piezas audiovisuales pedagógicas. Se avanzó en el desarrollo y producción de contenidos de la nueva página web. Se abrió la cuenta oficial de la UBPD en Twitter, la cual para finales del primer trimestre ya contaba con más de 1000 seguidores. </t>
  </si>
  <si>
    <t>1. Base de datos solicitudes individuales en proceso de participación 
2. Base de datos solicitudes colectivas en proceso de participación 
3. Formato de solicitudes de participación individual
Los soportes no se comparten para guardar la confidencialidad y datos de las familias. Los mismos están ubicados en la siguiente ruta D:\LAREVALON\Documents\2019\informes dir participación\primer trimestre reporte hoja de vida indicadores\Informe trimestral</t>
  </si>
  <si>
    <t xml:space="preserve">1. Actas
2. Ayudas de memorias
3. Listados
4. Informes de las reuniones de relacionamiento con las organizaciones </t>
  </si>
  <si>
    <t>1. Documento preliminar lineamientos enfoques diferenciales y de género 2. Estados del arte 3. Mapeo de actores 4. “Protocolo para la Coordinación y Articulación de la Reparación Integral, Restaurativa y Transformadora de los Pueblos Indígenas de Colombia” 
5. "Protocolo de relacionamiento y coordinación entre la UBPD y los pueblos indígenas de Colombia" 6. Actas Consulta Previa con Pueblos Indígenas 7. Acta Pueblo Indígena Kankuamo</t>
  </si>
  <si>
    <t>A primer trimestre de 2019, la Oficina de Gestión de Conocimiento avanzó en el desarrollo de los siguientes estudios:
1) Estado del Arte sobre la Desaparición en Colombia en el Marco y en Razón del Conflicto Armado.
2) Contextos Generales de las Violaciones a los Derechos Humanos Asociadas a la Desaparición en Colombia en el Marco y en Razón del Conflicto Armado.
3) Documentación de las metodologías de los procesos de búsqueda de las personas desaparecidas en contextos de violencia sociopolítica a nivel internacional</t>
  </si>
  <si>
    <t>Documento políticas de prevención del daño antijurídico.</t>
  </si>
  <si>
    <t>Elaborar una estrategia de incentivos que permita fortalecer la cultura de la rendición de cuentas entre los servidores de la UBPD, la ciudadanía y los familiares que hagan parte de los grupos de interés.</t>
  </si>
  <si>
    <t>Diseñar de la estrategia de rendición de cuentas.</t>
  </si>
  <si>
    <t>Implementar la estrategia de rendición de cuentas para la vigencia.</t>
  </si>
  <si>
    <t>Realizar el seguimiento y evaluación sobre lo previsto para la vigencia.</t>
  </si>
  <si>
    <t>1. Boletines abril y junio. / 2. Carteleras Internas abril, mayo y junio. / 3. Reporte comunicaciones enviadas por correo electrónico "Comunicaciones".
https://drive.google.com/open?id=1awUXFsZ4NqKDeVJD7gtjRBdeVjYSUCau (Desde la OAP agregamos el enlace con la ruta específica a la carpeta con la información).</t>
  </si>
  <si>
    <t xml:space="preserve">Con la entrada de dos nuevas integrantes en el equipo se fortalecieron las herramientas de comunicación interna ya existentes (boletínes, carteleras internas y correo comunicaciones@). Adicionalmente se avanzó en la propuesta para el desarrollo de la Intranet. </t>
  </si>
  <si>
    <t>0 herramientas de comunicación interna</t>
  </si>
  <si>
    <t>Se puso en funcionamiento el nuevo portal web de la UBPD; se realizó una Gira de Medios en el marco del despliegue territorial de la UBPD; se finalizó la Fase exploratoria de la Estrategia Círculo de saberes creativos; se llevó a cabo la primera audiencia de Rendición de cuentas; se fortalecieron las redes sociales Twitter y Facebook de la UBPD con la entrada de la Community Manager; se avanzó en la elaboración de las propuestas del programa de radio, el programa de televisión y los mensajes institucionales; se realizaron las gestiones para la difusión de las cuñas radiales en emisoras públicas, privadas, comunitarias y alternativas; se avanzó en la definición y el proceso de adquisición de los elementos de identificación institucional.</t>
  </si>
  <si>
    <t>26 acciones de pedagogía y comunicación estratégica externa</t>
  </si>
  <si>
    <t>28 acciones de pedagogía y comunicación estratégica externa</t>
  </si>
  <si>
    <t>Plan Institucional de Gestión Ambiental - PIGA diseñado</t>
  </si>
  <si>
    <t>1 entidad con relacionamiento activo con la UBPD</t>
  </si>
  <si>
    <t>Identificar actores institucionales clave para el cumplimiento del mandato misional de la UBPD.</t>
  </si>
  <si>
    <t>Identificar temáticas y necesidades misionales de articulación.</t>
  </si>
  <si>
    <t>Entablar contacto e instalar mecanismo de articulación con los actores institucionales clave.</t>
  </si>
  <si>
    <t>20% de protocolo de información construido</t>
  </si>
  <si>
    <t>63% de avance en el diseño e implementación de los mecanismos de planeación y seguimiento a la operación misional de las áreas a cargo de la subdirección técnica y territorial</t>
  </si>
  <si>
    <t>Actas de posesión; Contratos de prestación de servicios firmados; Metodología (Diseño taller de inducción); Listados de asistencia y/o actas de jornadas de trabajo entre los enlaces y equipos territoriales.</t>
  </si>
  <si>
    <t>Se diseñó la matriz de caracterización de potenciales fuentes de información territorial que aporten a la búsqueda y/o se consideren relevantes para el proceso. La matriz invita a los equipos a estar atentos a la variedad de información disponible en los territorios, a tener presente que las particularidades de cada lugar implican diferencias en cuanto a las fuentes disponibles y a indagar de manera constante por la manera en que dichas fuentes brindan insumos de gran importancia para la búsqueda de las personas dadas por desparecidas en el contexto y en razón del conflicto armado.</t>
  </si>
  <si>
    <t>Herramienta Matriz de fuentes.</t>
  </si>
  <si>
    <t>Consecutivo indicador</t>
  </si>
  <si>
    <t>09</t>
  </si>
  <si>
    <t>01</t>
  </si>
  <si>
    <t>02</t>
  </si>
  <si>
    <t>03</t>
  </si>
  <si>
    <t>04</t>
  </si>
  <si>
    <t>05</t>
  </si>
  <si>
    <t>06</t>
  </si>
  <si>
    <t>07</t>
  </si>
  <si>
    <t>08</t>
  </si>
  <si>
    <t>Soportes del avance
Segundo trimestre de 2019</t>
  </si>
  <si>
    <t>Avance cualitativo
Segundo trimestre de 2019</t>
  </si>
  <si>
    <t>% Avance acumulado 2019</t>
  </si>
  <si>
    <t>% Avance - II trimestre de 2019</t>
  </si>
  <si>
    <t>Meta
II trimestre de 2019</t>
  </si>
  <si>
    <t>Meta
I trimestre de 2019</t>
  </si>
  <si>
    <t>Avance cuantitativo
II trimestre de 2019</t>
  </si>
  <si>
    <t>Avance cuantitativo
I trimestre de 2019</t>
  </si>
  <si>
    <t>% Avance - I trimestre de 2019</t>
  </si>
  <si>
    <t>Nivel de cumplimiento - I trimestre de 2019</t>
  </si>
  <si>
    <t>Avance cualitativo
Primer trimestre de 2019</t>
  </si>
  <si>
    <t>Soportes del avance
Primer trimestre de 2019</t>
  </si>
  <si>
    <t>18,1% del sistema de gestión diseñado e implementado en el 2019</t>
  </si>
  <si>
    <t>1. Informes de seguimiento (2) enviados a los gerentes de los proyectos de inversión, sobre la información registrada en el SPI.
2 Informes Consolidados de la información resportada.
3. Registros mensuales que se realizan en el SPI.</t>
  </si>
  <si>
    <t>Se enviaron los informes de seguimiento a la ejecución presupuestal de los proyectos de inversión de la UBPD, comparado la ejecución de la entindad con la del SIVJRNR. Adicionalmente, se enviaron las alertas correspondientes a la programación del Plan Anual de Adquisiciones y los saldos de recursos pendientes por gestionar. Se realizaron las reuniones con directores y jefes de Oficina para definir las necesidades que permitan programar en el Plan Anual de Adquisiciones la totalidad del presupuesto de inversión. Finalmente, se han presentado alertas en los comités de gestión 01 y 03 de fechas 02/04/2019 y 29/05/2019, respectivamente, con el fin de conocer las dificultades que se han presentado para el cumplimiento de las metas de ejecución presupuestal y se han solicitado los planes detallados de trabajo para mejorar la ejecución presupuestal de inversión</t>
  </si>
  <si>
    <t>1. Presentaciónes de ejecucion presupuestal
2. Memorandos conjuntos con SG
3. Listados de asistencia.
4. Actas enviadas y socializadas pendientes de firma.</t>
  </si>
  <si>
    <t>17,46% de la ejecución presupuestal de los recursos de Inversión</t>
  </si>
  <si>
    <t>2,07% de la ejecución presupuestal de los recursos de Inversión</t>
  </si>
  <si>
    <t>Flujograma monitoreo del proceso de identificación ajustado</t>
  </si>
  <si>
    <t>Durante el segundo trimestre la DPCVED ha asesorado, orientado y fortalecido a 145 personas. Las mismas corresponden a 106 diálogos iniciales (133 personas), 23 diálogos de de documentación (11 personas) y 4 acciones de orientación, asesoría y fortalecimiento para la participación. (1 persona) 
De los 106 diálogos iniciales, 41 de estos con la participación de 53 personas, fueron realizados por el equipo territorial, según reporte de la Dirección de Información, Planeación y Localización -DIPL-. Sin embargo, la DIPL, advierte que dicho reporte se encuentra en proceso de migración y verificación con la base de registro unificada, proceso que es dispendioso, por lo que no se podría tomar como cifra final o definitiva.</t>
  </si>
  <si>
    <t>Ejecutar y evaluar el plan de seguridad y salud en el trabajo</t>
  </si>
  <si>
    <t>% de planes regionales de búsqueda en implementación</t>
  </si>
  <si>
    <t>Implementar los planes regionales de búsqueda.</t>
  </si>
  <si>
    <t>88% de los planes regionales de búsqueda presentados a la Subdirección, en implementación</t>
  </si>
  <si>
    <t>0% de los planes regionales de búsqueda presentados a la Subdirección, en implementación</t>
  </si>
  <si>
    <r>
      <t xml:space="preserve">Se adjuntan los siguientes soportes:
1. Documento sobre el marco legal de la articulación del SIVJRNR (Anexo 1)
2. Marco legal que rige el acceso y la transmisión de la información de la UBPD (Anexo 2)
3. Documento de consideraciones sobre la relación de la CEV con la UBPD (Anexo 3)
Ruta de consulta: </t>
    </r>
    <r>
      <rPr>
        <u/>
        <sz val="9"/>
        <rFont val="Arial Narrow"/>
        <family val="2"/>
      </rPr>
      <t>https://drive.google.com/drive/folders/1UA28g9PHL_Pq5BcupxorWaFncyMHXfD-</t>
    </r>
  </si>
  <si>
    <r>
      <t xml:space="preserve">Convenios interadministrativos suscritos y anexo técnico UBPD-FGN que reposan en la carpeta compartida (drive) con ruta </t>
    </r>
    <r>
      <rPr>
        <u/>
        <sz val="9"/>
        <rFont val="Arial Narrow"/>
        <family val="2"/>
      </rPr>
      <t>https://drive.google.com/drive/folders/1gtr70Syi9IkWydIYwBwv5evSZiqa2Sdw</t>
    </r>
  </si>
  <si>
    <t>Durante el periodo de reporte se avanzó en la suscripción de un (1) convenio interadministrativo de cooperación con la Fiscalía General de la Nación cuyo avance se refleja en la realización de un anexo técnico donde se establece el procedimiento de diligencia de acceso a procesos, para realizar la recolección de información para la búsqueda. Por otra parte, el convenio con la CEV permitió la puesta en marcha de las sedes territoriales en los municipios de San José del Guaviare, Cúcuta, Apartadó, Villavicencio y Barrancabermeja. En tal sentido, han superado dificultades de carácter logístico, técnico y administrativo logrando a la fecha la consolidación de las sedes territoriales según lo programado por la SGTT.</t>
  </si>
  <si>
    <t>Durante el 2do. trimestre de 2019, se realizaron 4 reuniones entre la UBPD y la CEV sobre el intercambio de información, con el propósito de identificar las necesidades de cada una de las entidades, los tipos de información que recauda y produce cada entidad, las modalidades propias de tratamiento de la información de cada entidad, el marco legal (Decretos Ley 588 y 589 de 2017), las características y modalidades de intercambio y transmisión de información. Estas reuniones estuvieron orientadas a acordar las bases y elementos esenciales para la elaboración de un protocolo de intercambio de información entre la CEV y la UBPD, en desarrollo del artículo 5 del Decreto Ley 589 de 2017.
A esos efectos, tanto la CEV como la UBPD designaron personas de enlace: Camilo Bernal (inicialmente) y Dora Lancheros (posteriormente) por la CEV; y Federico Andreu, por la UBPD. 
Las necesidades identificadas fueron: 
• Transmisión de la UBPD de los reportes oficiales sobre lo acontecido del artículo 5 del Decreto Ley 589 de 2017).
• Intercambio de información y documentos estatales (inclusive bajo reserva legal) recaudados por cada entidad.
• Transmisión a la UBDP de las declaraciones de víctimas, familiares, comparecientes y otros recaudados por la CEV.
• Transmisión de análisis y documentos de la UBPD sobre la desaparición forzada (territorios, patrones, modalidades, tipologías, y evolución).
En el curso de ese periodo, la CEV y la UBDP intercambiaron documentos de referencia. Por parte de la UBPD se elaboró y entregó a la CEV un documento sobre el marco legal de la articulación del SIVJRNR (Anexo 1) y otro sobre el marco legal que rige el acceso y la transmisión de la información de la UBPD (Anexo 2). Por su parte la CEV elaboró y entrego a la UBPD un documento de consideraciones sobre la relación de la CEV con la UBPD (Anexo 3).
Actualmente, la UBPD está elaborando un proyecto de Protocolo de intercambio de información entre la UBDP y la CEV.</t>
  </si>
  <si>
    <t>35% de avance en el diseño e implementación de los mecanismos de planeación y seguimiento a la operación misional de las áreas a cargo de la subdirección técnica y territorial</t>
  </si>
  <si>
    <t>Personal vinculado (planta Subdirección y contratistas de apoyo a la gestión de los misionales):
1. Los soportes de nombramiento de personal de planta reposan en la Subdirección de Gestión Humana.
2. Los soportes del personal contratado por OPS, reposan en la Oficina de contratos (contratos 008, 009, 010, 011, 012, 013, 014 y 024 de 2019).
3. Seguimiento presupuestal y contractual general SGTT.
4. Propuesta de seguimiento SPI_DIPLOB.
5. Seguimiento presupuestal y contratual_DIPLOB.
Las propuestas de instrumentos de seguimiento a la gestión de las Direcciones Misionales reposan en la carpeta drive con ruta: https://drive.google.com/drive/folders/1cDEQezEfuD0bhne7SOIVEvwZLdwGGqhE</t>
  </si>
  <si>
    <t xml:space="preserve">85% de los equipos territoriales de la UBPD en funcionamiento. </t>
  </si>
  <si>
    <t>33% de los equipos territoriales de la UBPD en funcionamiento</t>
  </si>
  <si>
    <t>32% de los equipos territoriales de la UBPD en funcionamiento</t>
  </si>
  <si>
    <t>Durante el segundo trimestre se definieron los componentes mínimos del enfoque territorial de la UBPD. Dicho ejercicio fue realizado junto con los coordinadores territoriales, los enlaces territoriales de la SGTT y la Directora General. Como componentes mínimos para el enfoque territorial se establecieron:
1) relacionamiento con actores;
2) construcción de identidad y sentido de la desaparición;
3) actores, desde la perspectiva de sus conocimientos, experiencias y necesidades;
4) perspectiva dinámica del enfoque territorial; y
5) Dinámicas pasadas y actuales del conflicto.</t>
  </si>
  <si>
    <t>Para el periodo de reporte se remitió a la Dirección General la ruta metodológica con los siguientes componentes:
Metodología para la realización de los diálogos participativos de la cual hacen parte los siguientes componentes: cronograma y plan de trabajo, actores que participarán en los diálogos y sitios de realización de los diálogos. La implementación de esta metodología se realizará a través del convenio USAID-UBPD suscrito para tal fin.
Así mismo, se cuenta con la propuesta metodológica para la sistematización de los diálogos participativos.</t>
  </si>
  <si>
    <t>1. Plan de trabajo y cronograma V1
2. Plan de trabajo específico para sistematización de diálogos sobre PNB
3. Plan de trabajo específico para sistematización de diálogos sobre PNB
4. Cronograma V2 y 3. Metodología para la realización de los diálogos participativos
5. Convenio UBPD_USAID-OIM Plan Nacional de Búsqueda
4. Documento de avance en la sistematización de los diálogos sobre el PNB</t>
  </si>
  <si>
    <t>Se han realizado cinco (5) Comités de acciones humanitarias en los cuales se ha revisado la implementación de los doce (12) planes regionales de búsqueda que se encuentran en etapa de recolección y análisis de información.</t>
  </si>
  <si>
    <t>Actas de los 5 Comités de acciones humanitarias realizados.</t>
  </si>
  <si>
    <t>Conformar instancia colegiada al interior de la UBPD para la implentación de los planes regionales de búsqueda.</t>
  </si>
  <si>
    <t>Herramienta Matriz de actores clave.</t>
  </si>
  <si>
    <t>Durante el segundo trimestre se diseñó la herramienta de recolección de información para el mapeo de los actores en territorio. Para la elaboración de dicha herramienta se realizaron espacios de conversación con la Dirección General donde se avaló la herramienta diseñada por la SGTT. Dicha herramienta fue pensada para reconocer los aprendizajes sobre la búsqueda de personas dadas por desaparecidas. Se le pregunta quién, cómo, cuando y donde ha buscado, cuáles han sido las redes de apoyo para la búsqueda y los obstáculos que se han presentado para la misma. Dicha matriz será un insumo relevante para consolidar el plan estratégico de los equipos territoriales teniendo en cuenta el enfoque territorial.</t>
  </si>
  <si>
    <t>50 encuentros con entidades e instituciones que conocen el trabajo de la UBPD y con las que se inicia un contacto de relacionamiento en el territorio</t>
  </si>
  <si>
    <t>Bajo la coordinación y lineamiento de la Subdirección General Técnica y Territorial, los equipos territoriales adelantaron 41 diálogos iniciales con familias y/o personas interesadas en conocer el paradero y lo acaecido con sus ser(es) querido(s) dado(s) por desaparecido(s). En este espacio, se indagó sobre las expectativas y necesidades de las víctimas en relación con la búsqueda, además de brindar información clara y precisa sobre el mandato y funciones de la UBPD a partir de su carácter humanitario extrajudicial y confidencial.
En el segundo trimestre la meta no se cumplió dado que los equipos territoriales inciaron sus labores a partir del 4 de junio de 2019 y no en el mes de mayo como se tenía previsto. No obstante, se espera que para el tercer trimestre se realicen los encuentros programados más los rezagados del segundo trimestre.
La UBPD entiende por encuentros de apoyo, asesoría, orientación y fortalecmiento todas aquellas acciones que contribuyen a la búsqueda de personas dadas por desaparecidas. En este caso, los diálogos iniciales hacen parte de esas acciones como también lo hacen las acciones de fortalecimiento. Es por ello que los memorandos incluyen tanto diálogos iniciales como acciones de fortalecimiento. La suma de éstos es el resultado de los encuentros de apoyo, asesoría, orientación y fortalecimiento realizados.</t>
  </si>
  <si>
    <t>Memorandos de cumplimiento y registro de solicitudes recibidas en los espacios alcanzados.</t>
  </si>
  <si>
    <t>41 encuentros de asesoría, orientación, apoyo y fortalecimiento realizadas, de acuerdo a los lineamientos de la dirección de participación</t>
  </si>
  <si>
    <t>Con el objetivo de cumplir con la meta de este indicador prevista a partir del tercer trimestre, los equipos territoriales están avanzando en el diseño metodológico de los encuentros colectivos que deben pasar por aprobación de la SGTT. En este sentido, se avanza en la programación de los mismos para el tercer y cuarto trimestre. Todo indica que esta meta se cumplirá como se ha previsto.</t>
  </si>
  <si>
    <t>No se adjuntan soportes dado que las metodologías se encuentran en proceso de construcción.</t>
  </si>
  <si>
    <t>Con el fin de realizar un monitoreo constante de la situación de contexto y riesgo en términos de seguridad, cada equipo territorial formuló un documento en el que pusieron en evidencia el estado de cada una de sus jurisdicciones a nivel general, de conformidad con las orientaciones formuladas por el asesor de seguridad de la Dirección General.</t>
  </si>
  <si>
    <t>Documentos de contexto y seguridad del mes de junio de 2019.</t>
  </si>
  <si>
    <t>NO ENVIARON REPORTE</t>
  </si>
  <si>
    <t>69,8% de las metas del plan de acción cumplidas</t>
  </si>
  <si>
    <t>Nivel de cumplimiento 2019</t>
  </si>
  <si>
    <t>1. Matriz de seguimiento al Plan de Acción 2019 con fecha corte 30 de junio de 2019
2. Informe de seguimiento del plan de acción segundo trimestre 2019</t>
  </si>
  <si>
    <r>
      <t xml:space="preserve">Para el año 2019 existen 71 indicadores registrados en el Plan de Acción 2019. De estos 71 indicadores, en el segundo trimestre de 2019 existen 43 indicadores con metas programadas mayores a cero, generando entonces una meta de este indicador para el segundo trimestre de </t>
    </r>
    <r>
      <rPr>
        <b/>
        <sz val="9"/>
        <rFont val="Arial Narrow"/>
        <family val="2"/>
      </rPr>
      <t>60,56%</t>
    </r>
    <r>
      <rPr>
        <sz val="9"/>
        <rFont val="Arial Narrow"/>
        <family val="2"/>
      </rPr>
      <t xml:space="preserve">. Durante el trimestre se dio cumplimiento con nivel «óptimo», «adecuado» y «subestimado» a 31 de ellos. Por lo anterior, se genera el cálculo de este indicador tomando los 31 indicadores sobre los 71 inscritos en el Plan de Acción 2019 con un resultado del </t>
    </r>
    <r>
      <rPr>
        <b/>
        <sz val="9"/>
        <rFont val="Arial Narrow"/>
        <family val="2"/>
      </rPr>
      <t>42,25%</t>
    </r>
    <r>
      <rPr>
        <sz val="9"/>
        <rFont val="Arial Narrow"/>
        <family val="2"/>
      </rPr>
      <t xml:space="preserve">. Por lo anterior, se calcula el avance cuantitativo así: =((43/71)/(31/71))= (60,56%)/(43,66%)= </t>
    </r>
    <r>
      <rPr>
        <b/>
        <sz val="9"/>
        <rFont val="Arial Narrow"/>
        <family val="2"/>
      </rPr>
      <t>72,09%</t>
    </r>
    <r>
      <rPr>
        <sz val="9"/>
        <rFont val="Arial Narrow"/>
        <family val="2"/>
      </rPr>
      <t>, dejando el indicador en nivel de riesgo de cumplimiento
Existen 15 indicadores con lectura por fuera de cumplimiento, (11) en nivel crítico y (4) en nivel riesgo</t>
    </r>
  </si>
  <si>
    <t xml:space="preserve">Se implementó el documento de medidas para la recepción y protección de información proveniente del proceso especial de recolección de información humanitaria y se siguieron las medidas establecidas en dicho documento. Continúa en revisión y aprobación la "Guía e instrucciones para la gestión documental de información que contribuya a la búsqueda de personas dadas por desaparecidas" por parte de la Dirección General. Se realizaron los estudios previos para contratar al profesional que se encargue de diseñar estrategias que contribuyan al monitoreo de los protocolos de protección y confidencialidad de la información. </t>
  </si>
  <si>
    <t xml:space="preserve">El documento la "Guía e instrucciones para la gestión documental de información que contribuya a la búsqueda de personas dadas por desaparecidas" fue actualizado a 28 de junio de 2019. Se adjunta documento como soporte del avance reportado. Por otro lado adjuntamos estudios previos del profesional proyectado para la Dirección. El documento de medidas para la recepción y protección de información proveniente del proceso especial de recolección de información humanitaria no ha sufrido ninguna modificación. </t>
  </si>
  <si>
    <t>La ruta metodológica esta siendo revisada por la Dirección General. Se espera comenzar el cronograma de encuentros en la mayor brevedad.
NOTA: La DIPLOB depende de la aprobación de la ruta metodológica elaborada por la SGTT para poder adelantar los encuentros y demás acciones que de ello se desprende para la formulación de la propuesta del Plan Nacional de Búsqueda; en tal virtud, a la fecha no se ha formulado dicha porpuesta por cuanto se entregó la ruta metodologica para aprobación de la Dirección General en el mes de mayo y no se ha notificado su aporbación. 
Atendiendo a dicha situación, lo cual afecta nuestro indicador, se está analizando que es lo mejor frente a este indicador e inclusive se ha pensado realizar cambios en fechas de entrega, lo cual está en proceso de diálogo con la Dirección General y Sandra Parra Jefe de la OAP.</t>
  </si>
  <si>
    <t>Se ajdunta la última versíon de la ruta metodologica estructurada por la SGTT pendiente de aporbación para que la DIPLOB pueda empezar el desarrollo de actividades que conllevan a la formulación de la propuesta del Plan Nacional de Búsqueda.</t>
  </si>
  <si>
    <t>Durante el segundo trimestre del año se han recibido en la UBPD 64.553 archivos con información relacionada con la búsqueda de personas desaparecidas. Así mismo, 56.531 de ellos se encuentran registrados y descritos en el registro de fuentes de la entidad. Con lo anterior, el avance del indicador es del 88%.</t>
  </si>
  <si>
    <t>Atendiendo el carácter confidencial de la información no se anexan soportes, pero las evidencias del reporte se remiten en pantallazo las cuales se encuentran en la carpeta workstation//SGI-BOG-011-FUENTES DE INFORMACION ubicada en la Subdirección de Gestión de Información.</t>
  </si>
  <si>
    <t>Se adjunta en fomato excel el plan de trabajo que da cuenta del avance cualitativo reportado.</t>
  </si>
  <si>
    <t>Debido a que la información que fue usada para la construcción de estos planes es confidencial, las rutas de trabajo y los informes de avance investigativo (soportes de avance) se encuentran en una carpeta en Drive denominada "Rutas de investigación 31/03/2019", en los links referenciados en el soporte del primer trimestre, donde se actualizará la información en esos mismos archivos de cada uno de los planes de búsqueda.
NOTA: El documento que da cuenta de los avances del trabajo que se viene realizando para la entrega del primer plan de búsqueda con hipótesis de localización se encuentra en el link N° 2 referenciado en el avance del primer trimestre.</t>
  </si>
  <si>
    <t>ESTRATEGIA CÍRCULO DE SABERES CREATIVOS: Encuentros Exploratorios 1. Mesa víctimas Montería y veredas. 2. Mujeres Tejedoras de Memoria de Montería. 3. Colectivo Poder Mestizo de Montería. 4. San José de Apartadó. 5. Apartadó.
PIEZAS IMPRESAS: 6. ABC de la UBPD.
ESTRATEGIA DIGITAL 7. Portal Web oficial UBPD. 
CAMPAÑA SENSIBILIZACIÓN Y MOVILIZACIÓN Cuñas radiales 8. Qué es la UBPD. 9. A quién busca la UBPD. 10. Carácter humanitario. 11. Carácter extrajudicial. 12. Principio de confidencialidad. 
OTROS: Espacios Pedagógicos 13. Mesa Distrital. 14. Pereira. 15. Tame. 16. Neiva / 17. Video La Esperanza nos Mueve. / Gira de Medios 18. Apartadó. 19. Barranquilla. 20. Sincelejo. 21. Villavicencio / 22. Transmisión y estrategia digital Rendición de cuentas. / Campañas digitales 23. Pieza Día Orgullo LGTBI 24. Pieza 9 de Abril. 25. Campaña Día Detenido Desaparecido. 26. Campaña de la Afrocolombianidad. / 27. Foro Revista Arcadia - Feria del Libro. / 28. Se realizó material de imagen institucional (Agendas, manillas, mochilas). 
https://drive.google.com/open?id=1otx8V_TJzrHBI1Nt9sM9Ygsb500oSEcf</t>
  </si>
  <si>
    <t>1. La OAP realizó monitoreo y seguimiento del Mapa de Riesgos de Corrupción del primer cuatrimestre 2019. Así mismo, fue publicado en la página web de la UBPD
2. Con relación a la planeación estratégica del Sistema de Gestión se elaboró el contexto estratégico externo e interno para la administración de riesgos y se construyó la primera versión de las políticas de calidad y de riesgos.
3. Se han diseñado procedimientos, planes y formatos en el marco del Sistema de Gestión de la Calidad, solicitados por las diferentes áreas para la respectiva codificación y versionamiento.
 4. Actualmente se cuenta con la matriz de requisitos para la implementación del Sistema de Gestión de la calidad, donde se detalla las actividades que se requiere desarrollar para cada una de ellos.
5. Se solicitó concepto técnico al Departamento Administrativo de la Función Pública el día 03 de enero de 2019 relacionados con la implementación del Modelo Integrado de Planeación y Gestión y la Implementación del Modelo Estándar de Control Interno, concepto que fue recibido por la UBPD el día 04 de febrero de 2019 y presentado a los miembros del Comité de Gestión el No 01 del día 02 de abril de 2019.
Posteriormente, se solicitó un análisis jurídico a la Oficina Asesora encargada de estos temas en la Entidad sobre las políticas de gestión y desempeño mediante comunicación interna. Este concepto fue solicitado reiterativamente en los Comités de Gestión por parte de la Oficina Asesora de Planeación desarrollados los días: 08 de abril, 29 de mayo, 25 de junio y 25 de junio de 2019 
Igualmente, se remitieron los autodiagnósticos de las políticas de gestión y desempeño para el análisis por parte de los líderes de cada una de ellas y se elaboró el plan de acción del Modelo Estándar de Control Interno basado en el autodiagnóstico del Departamento Administrativo de la Función Pública.
Con relación a las políticas de gestión tales como: talento humano, integridad, direccionamiento y planeación, plan anticorrupción y atención al ciudadano y gestión financiera, en los Comités de Gestión se han presentado varios elementos para revisión y aprobación de la alta dirección.
6. - Con relación a la política de control interno la Oficina de Planeación acompañó la elaboración del plan de acción del MECI, a partir del autodiagnóstico desarrollado por la Oficina de Control Interno, el cual fue remito a control interno el día 16 de mayo de 2019 para la revisión y evaluación independiente que realiza esta Oficina, ajustes que fueron realizados por la Oficina Asesora de Planeación y enviando para la presentación en el Comité Institucional de Control Interno.
7. Se publicaron para la participación ciudadana los siguientes temas: Plan Anticorrupción y Atención al ciudadano, Mapa de Riesgos de Corrupción y los documentos relacionados con la audiencia de rendición de cuentas 2018 realizada en junio 19 de 2019.</t>
  </si>
  <si>
    <t>1. Seguimiento del Mapa de riesgos de corrupción en el link: https://www.ubpdbusquedadesaparecidos.co/acerca-de-la-busqueda/#sec-trans
2. Contexto estratégico, política de calidad, política de riesgos y lista de asistencia
3. Documentos del Sistema de Gestión de la Calidad: ruta: 
https://drive.google.com/drive/u/1/folders/18ukstRdNI-u_DJBg24JeAev3dIniYEnM
4. Matriz de requisitos del Sistema de Gestión
5. Concepto de la función pública, solicitud de concepto a la Oficina Asesora Jurídica y Plan de Acción MECI, las actas se encuentranen la carpeta : \\Bog-opl-04\archivo digital\Plan de Acción\2019\Seguimiento II trimestre 2019
6. Plan de Acción MECI
7. Pantalla de Publicación en página web 22012019 de la CONSULTA del PAAC y del Mapa de Riesgos de Corrupción 2019
8. Correo CONSULTA Proyecto Plan Anticorrupción y de Atención al Ciudadano y el Mapa de Riesgos de Corrupción 2019
9. Consulta Rendiciíón de Cuentas</t>
  </si>
  <si>
    <t>Durante el primer trimestre se realizó la actualización de los dos proyectos de inversion de la UBPD: "Implementación de procesos humanitarios y extrajudiciales de búsqueda de personas dadas por desaparecidas en razón y en contexto del conflicto armado colombiano" y "Fortalecimiento de la Unidad de Búsqueda de personas dadas por desaparecidas", al Decreto 2467 de diciembre de 2018, de liquidación del Presupuesto General de la Nación. Adicionalmente, es importante mencionar que, para realizar la distribución de recursos por actividades, se utilizó la versión del PAA 2019 vigente para el mes de febrero de 2019.</t>
  </si>
  <si>
    <t>Se realizaron los seguimientos correspondientes al segundo trimestre de la vigencia, recopilando y consolidando la información correspondiente a los avances cuantittivos y cualitativos reportados por los Directores y Jefes de Oficina, que tienen productos asociados a las cadenas de valor de los proyectos de inversión.</t>
  </si>
  <si>
    <t>El documento políticas de prevención del daño antijurídico con corte a mayo 30 de 2019 se construyó cumpliendo el hito establecido.</t>
  </si>
  <si>
    <t>Para el segundo trimestre se reporta avance en la vinculación de los siguientes cargos de planta a la SGTT: una (1) Experta Técnica grado 5, un (1) Experto Técnico grado 3, dos (2) Técnicas de unidad especial grado 1 y una (1) Análista Técnica grado 1.
Desde la SGTT se han desarrollado herramientas para el seguimiento presupuestal a los recursos del proyecto de inversión y el seguimiento al despliegue logístico territorial.
En el mismo sentido, se vincularon a partir de los meses de abril y mayo ocho (8) profesionales para el apoyo de las actividades misionales de las dependencias a cargo de la SGTT, en desarrollo de sus obligaciones contractuales estos profesionales avanzan en la implementación de instrumentos de seguimiento a la gestión en temas como: seguimiento presupuestal y contractual, propuesta de formato para el reporte del SPI por parte de la DIPLOB.
Finalmente, no se reporta avance cuantitativo en los hitos 3 y 4, dado que no se han unificado las herramientas de seguimiento a la gestión para proceder a su implementación general, ni se ha creado la mesa técnica de seguimiento administrativo.</t>
  </si>
  <si>
    <t>Se vincularon 36 profesionales que conformaron los 10 equipos territoriales que componen el despliegue territorial propuesto. Vale la pena resaltar que a la fecha se adelantan procesos de vinculación para dos profesionales y proceso de entrevistas para dos profesionales más.
Para el segundo trimestre de 2019 se dio apertura a 10 sedes territoriales en las ciudades de: Barranquilla, Barrancabermeja, Puerto Asís, Cali, Villavicencio, San José del Guaviare, Cúcuta, Rionegro, Apartadó y Sincelejo. Así las cosas, con el fin de garantizar el funcionamiento en dichas oficinas se estableció convenio con la CEV y Pastoral social, donde se ubican temporalmente los equipos territoriales.
En el marco del proceso de alistamiento para el inicio de actividades de los equipos territoriales, se formuló la metodología para el desarrollo del taller de inducción de los días 21 al 24 de mayo del 2019. El mismo tuvo como objetivo principal aportar elementos para el reconocimiento del carácter humanitario, extrajudicial, de enfoque diferencial y territorial de la UBPD, además del rol de los equipos territoriales al interior de la entidad en el proceso de búsqueda.</t>
  </si>
  <si>
    <t>Documento con los componentes mínimos del enfoque territorial de la UBPD; Invitación a la reunión Actas de reunión entre la Dirección General, enlaces territoriales y coordinadores territoriales.</t>
  </si>
  <si>
    <t>Como resultado y soporte de los encuentros institucionales adelantados en la región se acopiaron las actas y listados de asistencia.</t>
  </si>
  <si>
    <t xml:space="preserve">Se viene adelantando la metodología para consolidar la información de las solicitudes de búsqueda individuales y colectivas que nos dan cuenta 1.322 personas dadas por desaparecidas. Adicionalmente se han identificado en los trabajos de investigación alrededor de 484 personas que posiblemente puedan coincidir con el registro inicial cuantificado en las 1.322 solicitudes. </t>
  </si>
  <si>
    <t>Sistema de seguimiento, monitoreo y evaluación de proyectos implementado</t>
  </si>
  <si>
    <t>% de entregas dignas</t>
  </si>
  <si>
    <t>No. de organizaciones de la sociedad civil que apoyan los procesos de participación en la búsqueda.</t>
  </si>
  <si>
    <t>No. de organizaciones de la sociedad civil que conocen el trabajo de la UBPD y con las que se inicia un contacto de relacionamiento.</t>
  </si>
  <si>
    <t>% de avance en el diseño e implementación de los mecanismos de planeación y seguimiento a la operación misional de las áreas a cargo de la subdirección técnica y territorial.</t>
  </si>
  <si>
    <t>% de avance en la formulación participativa de documento sobre enfoque territorial de la UBPD.</t>
  </si>
  <si>
    <t>% de avance en la construcción de protocolo de intercambio de información con la Comisión de Esclarecimiento de la Verdad - CEV.</t>
  </si>
  <si>
    <t>Documento de política de prevención del daño antijurídico realizado.</t>
  </si>
  <si>
    <t>% de avance en la implementación del Plan anual de auditorías.</t>
  </si>
  <si>
    <t>% de avance en el diseño e implementación del Sistema de Control Interno.</t>
  </si>
  <si>
    <t>Ejecución presupuestal de proyectos de cooperación.</t>
  </si>
  <si>
    <t>% de ejecución del plan de estudios e investigaciones.</t>
  </si>
  <si>
    <t>No. de soluciones a obstáculos y riesgos de gestión de conocimiento identificados.</t>
  </si>
  <si>
    <t>% de herramientas para la creación, el flujo, la apropiación y el uso del conocimiento en la UBPD, implementadas.</t>
  </si>
  <si>
    <t>% de servidores de la Unidad que utiliza herramientas colaborativas.</t>
  </si>
  <si>
    <t>% activos de información asegurados.</t>
  </si>
  <si>
    <t>% de disponibilidad de servicios TI.</t>
  </si>
  <si>
    <t>% de procedimientos de TI apoyados en buenas prácticas.</t>
  </si>
  <si>
    <t>No. de herramientas probadas.</t>
  </si>
  <si>
    <t>No. de acciones de Pedagogía y Comunicación Estratégica externa.</t>
  </si>
  <si>
    <t>Plan Nacional de Búsqueda formulado.</t>
  </si>
  <si>
    <t>No. de proyectos de cooperación internacional aprobados.</t>
  </si>
  <si>
    <t>No. de acuerdos de cooperación técnica suscritos.</t>
  </si>
  <si>
    <t>No. de entidades con relacionamiento activo con la UBPD.</t>
  </si>
  <si>
    <t>No. de documentos sobre lineamientos para la formulación del plan nacional de búsqueda, garantizando la inclusión de los enfoques territorial, diferencial, étnico y de género.</t>
  </si>
  <si>
    <t>No. de documentos sobre criterios de evaluación y aprobación de los planes regionales de búsqueda, garantizando la inclusión de los enfoques territorial, diferencial, étnico y de género.</t>
  </si>
  <si>
    <t>No. de matrices de caracterización de actores regionales clave para la búsqueda</t>
  </si>
  <si>
    <t>No. de encuentros con entidades e instituciones que conocen el trabajo de la UBPD y con las que se inicia un contacto de relacionamiento en el territorio</t>
  </si>
  <si>
    <t>No. de encuentros de asesoría, orientación, apoyo y fortalecimiento realizadas, de acuerdo a los lineamientos de la dirección de participación</t>
  </si>
  <si>
    <t>No. de encuentros colectivos de asesoría, orientación, apoyo y fortalecimiento a familiares realizados</t>
  </si>
  <si>
    <t>No. de documentos con insumos sobre contexto y situación de riesgo territorial elaborados, siguiendo las orientaciones del asesor de protección de la UBPD.</t>
  </si>
  <si>
    <t>No. de matrices de caracterización de potenciales fuentes de información territorial que aporten a la búsqueda.</t>
  </si>
  <si>
    <t>No. de informes generados en virtud del cumplimiento de protocolos de acceso y protección de información</t>
  </si>
  <si>
    <t xml:space="preserve">No. de documentos sobre el universo de personas dadas por desaparecidas en el contexto y en razón del conflicto armado elaborados. </t>
  </si>
  <si>
    <t xml:space="preserve">No. de documentos sobre el registro nacional de fosas, cementerios ilegales y sepulturas elaborados. </t>
  </si>
  <si>
    <t>No. planes con hipótesis de localización</t>
  </si>
  <si>
    <t>No. de personas con asesoría, orientación y fortalecimiento para la participación en la búsqueda</t>
  </si>
  <si>
    <t>No. de documentos con lineamientos de participación, enfoques diferenciales, género y psicosocial elaborados</t>
  </si>
  <si>
    <t>No. políticas administrativas adoptadas</t>
  </si>
  <si>
    <t>40% de los recursos de cooperación internacional ejecutados al finalizar 2018</t>
  </si>
  <si>
    <t>SEGUIMIENTO TERCER TRIMESTRE DE 2019</t>
  </si>
  <si>
    <t>SEGUIMIENTO SEGUNDO TRIMESTRE DE 2019</t>
  </si>
  <si>
    <t>SEGUIMIENTO PRIMER TRIMESTRE DE 2019</t>
  </si>
  <si>
    <t>Avance cualitativo
Tercer trimestre de 2019</t>
  </si>
  <si>
    <t>Soportes del avance
Tercer trimestre de 2019</t>
  </si>
  <si>
    <t>Consolidación del documento de Política de Prevención del daño antijurídico.</t>
  </si>
  <si>
    <t>Socialización y aprobación del documento de Política de Prevención del daño antijurídico ante el Comité de Conciliación de la UBPD.</t>
  </si>
  <si>
    <t>No. de métodos de prospección valorados</t>
  </si>
  <si>
    <t>Diagnosticar las instituciones que tienen tecnologías para prospectar.</t>
  </si>
  <si>
    <t>Elegir los métodos a aplicar.</t>
  </si>
  <si>
    <t>Realizar las prospecciones.</t>
  </si>
  <si>
    <t>Diagnosticar el conocimiento de los servidores.</t>
  </si>
  <si>
    <t>Identificar las temáticas del plan de formación.</t>
  </si>
  <si>
    <t>Solicitar el plan de formación a la oficina de gestión del conocimiento.</t>
  </si>
  <si>
    <t>Realizar prospecciones de acuerdo con el informe de localización emitido por la DTIPL.</t>
  </si>
  <si>
    <t>Diagnosticar las instituciones que tienen tecnologías para recuperar.</t>
  </si>
  <si>
    <t>Realizar las recuperaciones.</t>
  </si>
  <si>
    <t>No. de métodos de Recuperación valorados</t>
  </si>
  <si>
    <t>No. de cuerpos recuperados</t>
  </si>
  <si>
    <t>No. de prospecciones realizadas</t>
  </si>
  <si>
    <t>No es acumulado</t>
  </si>
  <si>
    <t>% de información para la búsqueda recolectada, sistematizada y centralizada.</t>
  </si>
  <si>
    <t>60% de información para la búsqueda recolectada, sistematizada y centralizada.</t>
  </si>
  <si>
    <t>43% de información para la búsqueda recolectada, sistematizada y centralizada.</t>
  </si>
  <si>
    <t>87% de información para la búsqueda recolectada, sistematizada y centralizada.</t>
  </si>
  <si>
    <t>720 encuentros de asesoría, orientación, apoyo y fortalecimiento realizadas, de acuerdo a los lineamientos de la dirección de participación</t>
  </si>
  <si>
    <t>Meta
III trimestre de 2019</t>
  </si>
  <si>
    <t>360 encuentros de asesoría, orientación, apoyo y fortalecimiento realizadas, de acuerdo a los lineamientos de la dirección de participación</t>
  </si>
  <si>
    <t>20 encuentros colectivos de asesoría, orientación, apoyo y fortalecimiento a familiares realizados</t>
  </si>
  <si>
    <t>Metodologías de búsqueda humanitaria y extrajudicial de personas dadas por desaparecidas para el Estado colombiano, incorporando enfoques territorial, diferencial, étnico y de género.</t>
  </si>
  <si>
    <t>Consolidar en la base del registro unificado la información que llegue a la UBPD por las diversas fuentes tanto internas externas de las personas dadas por desaparecidas.</t>
  </si>
  <si>
    <t>Contrastar la información que reposa en la base de registro unificado.</t>
  </si>
  <si>
    <t>Elaborar los reportes o informes que sean requeridos con base en la información consolidada</t>
  </si>
  <si>
    <t>80% de las personas dadas por desaparecidas puestas en conocimiento de la UBPD, registradas en las herramientas de la Dirección Técnica de Información, Planeación y Localización para la Búsqueda.</t>
  </si>
  <si>
    <t>Avance cuantitativo
III trimestre de 2019</t>
  </si>
  <si>
    <t>% Avance - III trimestre de 2019</t>
  </si>
  <si>
    <t>% de personas dadas por desaparecidas puestas en conocimiento de la UBPD, registradas en las herramientas de la DIPLOB.</t>
  </si>
  <si>
    <t>10 documentos con insumos sobre contexto y situación de riesgo territorial elaborados siguiendo las orientaciones del asesor de protección de la UBPD</t>
  </si>
  <si>
    <t>Preparar la metodología de los encuentros con los actores sociales  hacen parte de la construcción del Plan Nacional de Búsqueda.</t>
  </si>
  <si>
    <t>Realizar los encuentros con los actores sociales hacen parte de la construcción del Plan Nacional de Búsqueda.</t>
  </si>
  <si>
    <t>Sistematizar los diálogos que tengan lugar en los encuentros con diversos actores sociales sobre el Plan Nacional de Búsqueda.</t>
  </si>
  <si>
    <t>Elaborar la primera versión del PNB.</t>
  </si>
  <si>
    <t>Elaborar la versión final del PNB.</t>
  </si>
  <si>
    <t>Realizar la socialización del PNB con la sociedad colombiana.</t>
  </si>
  <si>
    <t>Mínimo 900 personas con asesoría, orientación y fortalecimiento para la participación en la búsqueda</t>
  </si>
  <si>
    <t>Documentos soportes: 
1. Correo de aprobación por parte del Cooperante financiador (MPTF) 
2. Documento de Proyecto MPTF  
3. Ficha de Proyecto aprobada por cooperante implementador (OIM)</t>
  </si>
  <si>
    <t xml:space="preserve">1. AECID: Se aprobó por parte del cooperante financiador, sin embargo, se acordó que las actividades a realizar se ejecutarán en el año 2020 teniendo en cuenta sus disposiciones en materia presupuestal 
2. USAID Chemonics In Kind Grant: se suscribió para la donación de equipos de cómputo que apoyarán la implementación del Plan de impulso a la identificación 
3. Fundación Carter: Se encuentra en firma por parte de Carter el memorándum de entendimiento en versión español e inglés.
4. ICMP: se cuenta con el Plan aprobado para el desarrollo de la asistencia técnica solicitado para la proyección del memorándum de entendimiento. </t>
  </si>
  <si>
    <t xml:space="preserve">Durante el tercer trimestre de 2019 se generaron alertas orientadas a ajustar los planes de trabajo de los proyectos y fichas de cooperación que tienen la UBPD.  Las áreas misionales presentaron ajustes lo que se refleja en una mayor ejecución durante el trimestre. </t>
  </si>
  <si>
    <t xml:space="preserve">Se anexa informe consolidado de la información de ejecución reportada por los cooperantes </t>
  </si>
  <si>
    <t>2 acuerdo de cooperación técnica suscrito</t>
  </si>
  <si>
    <t>El 81,49% de los servidores públicos hacen uso de las herramientas colaborativas</t>
  </si>
  <si>
    <t>Se genera informe de uso desde la consola de administración de la plataforma de herramientas colaborativas g-suite para los usuarios activos para el tercer trimeste, la cual se analiza de acuerdo al uso en almacenamiento de los usuarios en el Drive, así como la creación o edición de documentos Google y hojas de calculo., se puede evidenciar que el indicador se mantiene por el mismo porcentaje de utilización de las herramientas colaborativas y el indicador continua subestimado.</t>
  </si>
  <si>
    <t>Captura de Reporte generado desde la consola de administración g-suite.
Archivo de excel con el analisis del reporte generado por g-suite.
Evidencias disponibles en:
https://drive.google.com/open?id=1uBwnYZlzLqOI5tZb3Sp8c1OyTHXwIyeL</t>
  </si>
  <si>
    <t>Orden Compra 37853 Gsuite.pdf - Aseguramiento correo electrónico.
https://drive.google.com/open?id=16l_SrdeypKNiqvGtwKgLjEEwOgksLLtC
-Cronograma Aseguramiento Gsuite.pdf (Correo Electrónico).
https://drive.google.com/open?id=13KJyqDCPbqA_6nYR7jacaYyg9ySDS9gl
- Contrato No 067-2019 ETB.pdf - Aseguramiento canales de comunicaciones.
https://drive.google.com/open?id=1_3mdVCMDmPS1FwN4suj1tBpMBl3ZKu2A
- Cronograma Estrategia Implementar SEDES (Servicios tecnológicos).pdf
https://drive.google.com/open?id=13TChh5N-4L5_VSwLjn5XGBVrbr1B_qgD
- Captura licenciamiento Microsoft.
https://drive.google.com/open?id=12s1QiHrhv3WSi6cR9vWB7qYbvEQcvZvs
https://drive.google.com/open?id=13Y42FplYKhB40oZQE4mX4MM2EDMrtAmx</t>
  </si>
  <si>
    <t>99,89% de los servicios de TI disponibles</t>
  </si>
  <si>
    <t>Informes de gestión y disponibilidad de los servicios por parte del proveedor.
- Libro de excel con el calculo del indicador de acuerdo con los datos entregados por el proveedor.
evidencias disponibles en: https://drive.google.com/open?id=1OdKnhdrtCU14qmAjYcQ2L85h9fFoa-V3</t>
  </si>
  <si>
    <t>4 Procedimientos de TI apoyados con buenas prácticas</t>
  </si>
  <si>
    <t>Se realizan en conjunto con la consultoría y los servidores de la OTIC los ciclos de revisión, ajuste y aprobación de 4 procedimientos:
- Aprovisionamiento de infraestructura
- Gestión de capacidad tecnológica
- Solicitudes de servicios de TI
- Políticas de seguridad</t>
  </si>
  <si>
    <t>0 Fases del plan de implementación TI ejecutadas</t>
  </si>
  <si>
    <t>0 Fases del plan de implementación de TI ejecutadas</t>
  </si>
  <si>
    <t>Número de Fases del plan de implementación.TI ejecutadas</t>
  </si>
  <si>
    <t>1era Fase del plan de implementación TI ejecutada</t>
  </si>
  <si>
    <t>Las evidencias de las actividades desarrolladas se encuentran publicadas en las siguientes carpetas del drive:
- Identificación del estado actual del Nivel de madurez de la OTIC: https://drive.google.com/drive/folders/1uWvHJlTj88RZGezzPpug_D6EfvNQBX6g
- Identificación del estado actual de Servicios Tecnológicos de la OTIC: https://drive.google.com/drive/folders/1-SVmhocAAi99PLKSTgVV-3Er-AxLrfVx
- Identificación del estdo actual  de Información: https://drive.google.com/drive/folders/1Q8DUTT0Ws4d_zh4Ni0GHGhODMmggsf3p
- Identificación del estado actual de Sistemas de Información: https://drive.google.com/drive/folders/1Sb35LJ8eW5cZbCmwTqit_nLvJuTugRJf
- Identificación del estado actual Estrategia de TI: https://drive.google.com/drive/folders/1XkPmsSqpcoQ7cZiz5PkeHBoqrkLPBXOq
- Identificación del estado actual Gobierno de TI:https://drive.google.com/drive/folders/1OaqPj69lAfQXWPsKzyqoP4AfJqc</t>
  </si>
  <si>
    <t>1 herramientas de apoyo a la gestión de información identificadas y probadas</t>
  </si>
  <si>
    <t>Para el periodo comprendido entre el 01/09/2019 y 30/09/2019 no hay cambios en el indicador.; Lo anterior debido, a que en el periodo comprendido no se realizaron  y ejecutaron pruebas de concepto, debido a que esta actividad ya fue completada al 100%
Las pruebas de concepto ya fueron realizadas con las herramientas de software OCR y Architecture, Engineering and construction collection.</t>
  </si>
  <si>
    <t>23% del sistema de gestión diseñado e implementado en el 2019</t>
  </si>
  <si>
    <t>20,8% del sistema de gestión diseñado e implementado en el 2019</t>
  </si>
  <si>
    <t>1. Seguimiento del Mapa de riesgos de corrupción en el link: https://www.ubpdbusquedadesaparecidos.co/acerca-de-la-busqueda/#sec-trans
2. Mapas de riesgos de proceso, en el link: \\Bog-opl-04\archivo digital\SGC Política de calidad en el link \\Bog-opl-04\archivo digital\Consultoría de procesos\Metodología y documentos\Política de calidad y riesgos\Calidad.
3. Política de administración de riesgos, en el link: \\Bog-opl-04\archivo digital\Consultoría de procesos\Metodología y documentos\Política de calidad y riesgos\Riesgos.
4. Documentos del Sistema de Gestión de la Calidad, en la ruta: 
https://drive.google.com/drive/u/1/folders/18ukstRdNI-u_DJBg24JeAev3dIniYEnM
5. Políticas de gestión y desempeño en el link: \\Bog-opl-04\archivo digital\SGC\Políticas de gestión y desempeño
6. Lineamientos de las políticas de gestión y desempeño, en el link: \\Bog-opl-04\archivo digital\SGC\Políticas de gestión y desempeño
7. Correo con las observaciones de las políticas de gestión y desempeño y solicitud de concepto sobre la política de racionalización de trámites, en el link: \\Bog-opl-04\archivo digital\SGC\Políticas de gestión y desempeño
8. Presentación y Plan de Acción MECI. \\Bog-opl-04\archivo digital\SGC\Políticas de gestión y desempeño\MECI</t>
  </si>
  <si>
    <t>2 proyectos de inversión aprobados</t>
  </si>
  <si>
    <t>Los proyectos de inversión fueron aprobados e incluidos en el Plan Operativo Anual de Inversión (POAI) para la vigencia 2020. La cuota asignada a la entidad fue comunicada por el Departamento Nacional de Planeación el 15 de julio de 2019 mediante el Sistema Unificado de Inversiones y Finanzas Públicas / módulo presupuesto. Este presupuesto fue distribuido internamente en los 2 proyectos de inversión luego de una revisión efectuada con la Dirección General de la UBPD.</t>
  </si>
  <si>
    <t>1. Pantallazo de la distribución de la cuota de inversión del SUIFP
2. Listado de asistencia con la Dirección General y la Secretaria General para distribuir cuota internamente.</t>
  </si>
  <si>
    <t>61,1% de la ejecución presupuestal de los recursos de Inversión</t>
  </si>
  <si>
    <t>6,71% de la ejecución presupuestal de los recursos de Inversión</t>
  </si>
  <si>
    <t>1. 4 informes de seguimiento a la ejecución presupuestal de los proyectos de inversión
2. 3 alertas correspondientes a la programación del Plan Anual de Adquisiciones y los saldos de recursos pendientes por gestionar
3. 5 reuniones de trabajo con los líderes de la ejecución del presupuesto de inversión</t>
  </si>
  <si>
    <t>39% de los instrumentos de rendición de cuentas implementados</t>
  </si>
  <si>
    <t>37% de los instrumentos de rendición de cuentas implementados</t>
  </si>
  <si>
    <t>Hito 1. A partir de la revisión de las guías, Conpes y normativa relacionada, se elaboró un borrador de la estrategia y se avanzó en las etapas básicas, comenzando por la caracterización de los grupos de valor. Para ello, además del documento, se consolidó una base de datos con más de 2.000 registros y una propuesta de encuesta externa para realizarles, una vez la entidad cuente con una política de tratamiento de datos que lo permita. Sin embargo, este hito se reporta en avance en cero, dado que la estrategia no ha sido aprobada por la UBPD.
Hito 2. Se conformó el equipo interno de impulso de la rendición de cuentas, que ha sido liderado por la OAP, y en el que participan la OACP, la DTPCVED y el equipo de Servicio al Ciudadano. Se realizaron reuniones con ellos para construir acuerdos básicos y herramientas, así como para definir las acciones centrales que contendrá la estrategia. Con otras dependencias se sostuvieron reuniones y se les envió información por correo electrónico, en torno a la caracterización de grupos de valor.
Hito 3. La versión final del documento de estrategia de rendición de cuentas está en elaboración. Al respecto se contó también con el apoyo del DAFP, con el que se sostuvo una reunión.
Hito 4. La información fundamental que fue requerida se produjo para el Congreso de la República, en lo que se apoyó a la Dirección General en la construcción y consolidación de datos de interés para dar cuenta de la gestión de la entidad e incidir en los escenarios de definición del presupuesto 2020. Parte de esta información se tomó de los indicadores de Plan de Acción, de los indicadores de proyectos de inversión y de reuniones estratégicas para pensar la visibilización de los avances y resultados de la gestión de la entidad.
Hito 6. Como herramienta fundamental de seguimiento, se acordó sistematizar las preguntas y evaluaciones que surjan en todos los espacios de diálogo que se realicen en el marco de la rendición de cuentas.
Hito 7. Se estableció que las actividades serán reportadas mediante una autoevaluación, la primera de las cuales fue realizada por la OAP, según los parámetros sugeridos en las guías de rendición de cuentas.
Hito 8. En coherencia con lo indicado en el hito 6, el compromiso adquirido en la I audiencia del 19 de junio de 2019 fue responder de manera completa las preguntas recibidas, para lo cual, pese a que la mayoría fueron resueltas en esa misma jornada, elaboramos un documento con todas las respuestas, que fue divulgado a través de la web de la entidad, junto con el video de la audiencia y la presentación en ppt. que fue utilizada.
Hito 9. Se realizó un documento de autoevaluación de la rendición de cuentas, según lo establecido en el hito 7. Fue remitido a la Dirección General y a la Secretaría General.</t>
  </si>
  <si>
    <t>Hito 1. Base de datos / Encuesta externa diseñada. 
Hito 2. Listas de asistencia / Correos enviados con convocatoria y conclusiones de las reuniones / Correos a las dependencias sobre caracterización de grupos.
Hito 3. Borrador de la estrategia de rendición de cuentas (introducción y caracterización de grupos).
Hito 4. Documentos base para reuniones y audiencias en el Congreso de la República.
Hito 6. Transcripción de preguntas y evaluaciones de la I audiencia.
Hito 7. Documento de autoevaluación de la I audiencia / Memorando de remisión de la autoevaluación.
Hito 8. Los tres materiales indicados se encuentran publicados en https://www.ubpdbusquedadesaparecidos.co/actualidad/le-quedaron-preguntas-por-resolver-en-la-rendicion-de-cuentas/
Hito 9. Documento de autoevaluación de la I audiencia / Memorando de remisión de la autoevaluación.</t>
  </si>
  <si>
    <t>Teniendo en cuenta que la creación de los grupos internos de trabajo (administrativos) se encuentra pendiente de cumplimiento desde el reporte del 1° trimestre, al respecto es pertinente destacar que:
El día 28 de agosto de 2019 mediante memorando No. 100-3-201901230, se remitió a la Directora General para revisión, la resolucion que reglamenta la conformación de los grupos internos de trabajo (grupos administrativos). 
El día 25 de septiembre de 2019 mediante memorando No. 100-3-201901547, se remitió a la Directora General la justificación de creación de los grupos internos de trabajo (grupos administrativos).</t>
  </si>
  <si>
    <t>Memorando remisorio No. 100-3-201901230 del 28-08-2019 del proyecto de Resolucion que reglamenta la conformacion de los grupos internos de trabajo (grupos administrativos) 
Memorando No. 100-3-201901547 del 25-09-2019, por medio del cual se remitió a la Directora General la justificación de creación de los grupos internos de trabajo (grupos administrativos).</t>
  </si>
  <si>
    <t>2 políticas administrativas adoptadas</t>
  </si>
  <si>
    <t>Frente a la Política de Gestión Documental, es de destacar que, la misma se encuentra en ajustes, una vez socializada, será presentada para aprobación del Comité de Gestión en la sesión correspondiente al mes de octubre de 2019.
Frente a la Política de Servicio al Ciudadano, cabe destacar que,  el documento elaborado fue presentado en su primera versión en el Comité del 25 de junio, sin embargo, hasta el 30 de septiembre se recibieron las recomendaciones de la Oficina Asesora Jurídica razón por la cual la Política no ha sido nuevamente propuesta en Comité, se espera que en la programación de la sesión del comite correspondiente al mes de octubre, se logre la respectiva aprobación.</t>
  </si>
  <si>
    <t>Versión final de Política de Gestión Documental
Versión final de Politica de Servicio al Ciudadano</t>
  </si>
  <si>
    <t xml:space="preserve">En la página web de la entidad se encuentran publicados por cada uno de los temas (cuando así aplique), los actos administrativos expedidos por parte de la UBPD en ejercicio de sus funciones administrativas y misionales (Ejm. https://www.ubpdbusquedadesaparecidos.co/acerca-de-la-busqueda/, parte inferior, “estructura orgánica y gestión humana”, en el cual se encuentran publicadas todas las resoluciones de nombramientos de la planta de personal).
Adicionalmente, se deja constancia que en el tercer trimestre del año, han sido publicados en la plataforma de contratación pública del estado SECOP I 82 contratos, en SECOP II 14 contratos y en la TVEC 4 órdenes de compra. Lo anterior, para un total de 100 contratos publicados. </t>
  </si>
  <si>
    <t>Base de datos con el link de publicación de los contratos en las correspondientes plataformas establecidas para tal fin.</t>
  </si>
  <si>
    <t>67,5% de los recursos ejecutados</t>
  </si>
  <si>
    <t>23,6% de los recursos ejecutados</t>
  </si>
  <si>
    <t>Si bien la ejecución sigue siendo muy baja respecto de las metas propuestas para el cierre del tercer trimestre del año, es de destacar que a 30/09/2019, se reflejan compromisos por valor de $40.831.617.632, recursos sobre los cuales se reportará ejecución al cierre de la vigencia. 
Teniendo en cuenta los avances en la etapa precontractual de varios procesos que comprometen importantes recursos, se espera que al cierre del año se acerquen los porcentajes de ejecución presupuestal reales, con los fijados en el Plan de Acción.</t>
  </si>
  <si>
    <t xml:space="preserve">Reportes de ejecución presupuestal del tercer trimestre de 2019  </t>
  </si>
  <si>
    <t>2,2% del PAC no utilizado</t>
  </si>
  <si>
    <t>En cumplimiento al reporte del tercer trimestre del Plan de Acción, se presentaron respectivamente para los meses de julio, agosto y septiembre indicadores de PAC no ejecutado del 3,3%, 3,7% y 0,1%. Para el mes de julio se evidenció un buen comportamiento en el PAC asignado, ésto debido a que se implementaron medidas para el estricto cumplimiento de este con las diferentes áreas, los cuales generan alertas respecto de los niveles de ejecución. Para los meses siguientes que componen el trimestre, se continuó con las medidas, lo que generó buenos porcentajes en el cumplimiento del PAC. 
Aunado con lo anteriormente descrito, se desplegaron las siguientes acciones para lograr una efectiva programación del Plan Anual de Caja -PAC :
i) Remisión de correo a todos los servidores, recordándoles las fechas en las cuales deben solicitar el PAC de cada mes, con el asunto “TIPS PARA APOYO FINANCIERO” enviado a través del buzón de comunicaciones UBPD.
ii) El 6 de septiembre se informó a cada uno de los supervisores mediante correo electrónico, la aprobación por parte del Ministerio de Hacienda y Crédito Público, de los recursos adicionales conforme a solicitud.
iii) El día 10 de septiembre se remitió a los supervisores desde el buzón de financiera@ubpdbusquedadesaprecidos.co., correo electrónico con el fin de recordarles el estado de ejecución de los recursos que solicitaron para el mes de septiembre. 
iv) Se realiza acompañamiento a través de la herramienta “Link - chat personal”, recordando a los enlaces y supervisores, alertas sobre los plazos para solicitar recursos.
En este orden se realiza el seguimiento periódico de los compromisos y la respectiva programación del Plan Anual de Caja.</t>
  </si>
  <si>
    <t>1. Ejecución PAC
2. Soportes de acciones adelantadas</t>
  </si>
  <si>
    <t>92% de las solicitudes de bienes y servicios atendidas</t>
  </si>
  <si>
    <t>1. Soportes de eventos logísticos
2. Soportes de Aseo y Cafetería
3. Soportes de Almacén</t>
  </si>
  <si>
    <t>39% de la política de servicio al ciudadano adoptada</t>
  </si>
  <si>
    <t>1. Correos y Memorandos
2. Seguimiento Plan de Trabajo 
3. Soportes documentales</t>
  </si>
  <si>
    <t>45% del Plan Institucional de Gestión Ambiental - PIGA diseñado</t>
  </si>
  <si>
    <t>20% del Plan Institucional de Gestión Ambiental - PIGA diseñado</t>
  </si>
  <si>
    <t>1. Plan de Acción PIGA con soportes
2. Soportes Revisión y Aprobación</t>
  </si>
  <si>
    <t>54,2% de los Instrumentos archivísticos elaborados</t>
  </si>
  <si>
    <t>40% de los Instrumentos archivísticos elaborados</t>
  </si>
  <si>
    <t>De conformidad con el indicador para el tercer trimestre del cual se tiene como meta programada el 54,2%, se indica un cumplimiento optimo correspondiente al 40% , de lo cual se evidencia la ejecución de las siguientes actividades alienadas con los hitos establecidos para el proceso que se describen a continuación: 1) Elaboración del diagnóstico integral de archivos: se cuenta con un avance porcentual al 7% inferior al programado, dado que hace falta terminar la consolidación de información de la parte misional. 
2) Elaboración del Plan Institucional de Archivos – PINAR: se cuenta con un avance del 5%, si bien es cierto el hito fue valorado con un 20%, se evidencia que el  periodo de desarrollo de la actividad es del 26/09/2019 al 20/11/2019; por ende el avance más representativo se evidenciará en el cuarto trimestre, conforme a las fechas establecidas. Es importante señalar que la fecha de corte del tercer trimestre es el 30/09/2019 y el PINAR se inició el día 26/09/2019, por lo cual el periodo de desarrollo de la actividad solo fue de 4 días.
3) Elaboración del Programa de Gestión Documental – PGD: se cuenta con un avance porcentual esperado y programado igual al 10%, por lo tanto, se da cumplimiento al mismo en las fechas previstas.
4) Levantamiento y análisis de información de la I fase de elaboración de las TRD: Se cuenta con un avance porcentual del 18%, el cual evidencia un porcentaje superior al programado en el avance de la actividad, conforme a la elaboración del Cuadro de Clasificación Documental.</t>
  </si>
  <si>
    <t>1. Soportes Diagnóstico
2. Soportes PINAR
3. Soportes Programa de Gestión Documental
4. Soportes TRD</t>
  </si>
  <si>
    <t>Novedades planta trimestre 3, Acta de Reunión 001 - Provisión Planta 2019</t>
  </si>
  <si>
    <t>12,2% de cargos vacantes provistos de manera oportuna</t>
  </si>
  <si>
    <t>60 Servidores públicos capacitados</t>
  </si>
  <si>
    <t>20 Servidores públicos capacitados</t>
  </si>
  <si>
    <t>Se realizaron 21 actividades en el tercer trimestre: cinco jornadas de inducción, Curso Virtual Lenguaje Claro, Primer Encuentro de Equipo Transversal de Jefes Jurídicos y Defensa Jurídica, Conferencia: Contexto Nacional de la Desaparición y Línea de Tiempo Normativa, Curso virtual: Entes de Control más cerca de la compra pública, Fortalecimiento en el manejo de SIRDEC, Conferencia: DIH, Acuerdo de La Habana y la UBPD como mecanismo del Sistema Integral de Verdad, Justicia, Reparación y No Repetición (SIVJRNR)., Entrenamiento en gestión de datos y análisis estadístico con apoyo de Stata 16, Taller: Lenguaje Claro y PQRSD, Implementación, evaluación y seguimiento de estándares mínimos resolución 0312 de 2019 (con alternativas para mejorar el plan anual de trabajo), Conferencia: Los Mecanismos del SIVJRNR, Capacitación en Seguridad Digital, Conferencia: Introducción. La búsqueda desde la experiencia forense. Antecedentes y retos para la búsqueda y su complejidad, Jornada de Capacitación  de eKOGUI – Control Interno, Módulos y Funcionalidades, Registro Nacional de Bases de Datos – grupo 1, Seminario Taller Actualización Marco Normativo Contable, Registro Nacional de Bases de Datos – grupo 2</t>
  </si>
  <si>
    <t>Listados de asistencia, correos de inscripción, certificados de asistencia</t>
  </si>
  <si>
    <t>30% del plan de bienestar social y estímulos implementado</t>
  </si>
  <si>
    <t>10% del plan de bienestar social y estímulos implementado</t>
  </si>
  <si>
    <t>Resolución 695 de 2019 "por medio de la cual se establece el horario de trabajo para los servidores(as) públicos de la UBPD y se dictan otras disposiciones" y Resolución 696 "por medio de la cual se adoptan algunos estímulos para los servidores(as) de la UBPD y se dictan otras disposicioes.", listados de asistencia de los diálogos de equipos, correo y registro fotográfico de amor y amistad, acta aplazamiento de semana de la salud.</t>
  </si>
  <si>
    <t>12% del sistema de seguridad y salud en el trabajo implementado</t>
  </si>
  <si>
    <t>1. Actividades de promoción y prevención.
2.Conformación Comité de Convivencia
3.Conformación COPASST
4.Matriz de Indicadores
5.Mecanismos de Comunicación
6.Plan de Emergencias
7.Procedimiento Gestión del Cambio
8.Profesiograma
9.Programa de Hábitos Saludables</t>
  </si>
  <si>
    <t>55% del código de integridad implementado</t>
  </si>
  <si>
    <t>1 Herramientas de medición del clima laboral Implementadas</t>
  </si>
  <si>
    <t>Durante el tercer trimestre de 2019, se han adelantado las siguientes gestiones en cuanto a convenio de cooperación internacional
1. Fondo Multidonante de las Naciones Unidas – MPTF: Se han llevado a cabo mesas de trabajo interinstitucionales como Sistema Integral acompañadas de las 2 agencias que serán las implementadoras de estas acciones OIM y PNUD, para estructurar el nuevo proyecto a suscribir el cual está conformado por 3 componentes: 
a. Fortalecimiento de territorialización como sistema integral 
b. Estrategia de comunicación y pedagogía como Sistema integral 
c. Estrategia de seguridad y autoprotección para los equipos en territorio 
Este proyecto se encuentra aprobado por el Cooperante Financiador y se tiene prevista la firma de este documento en el mes de noviembre de 2019.
2. USAID: Se gestionó y fue aprobada la nueva ficha que será implementada por OIM para apoyar la estrategia pedagógica círculos de saberes durante el 1er trimestre de 2020</t>
  </si>
  <si>
    <t>34,60% de los recursos de cooperación internacional ejecutados</t>
  </si>
  <si>
    <t>Se presentó intermitencia y lentitud sobre el canal de ETB, el cual se reportó bajo el numero de caso SD1321216 lo que para el mes de Agosto queda el canal con una disponibilidad de 99,98%, al igual para el mes de septiembre se presentaron 2 casos de indisponibilidad registrados con los numeros SD1326675 y SD1334382 con los cuales se obtuvo una indisponibilidad de 6 Horas 57 minutos para una disponibilidad del servicio de 99,67%.
Los demas servicios tales como Gsuite y servicio de impresión no presentaron indisponibilidad por lo que el indicador general quedo en 99,89%.</t>
  </si>
  <si>
    <t>Las evidencias de ejecución incluyen los siguientes elementos:
- Correos electrónicos
- Versiones de los documentos de definición de los procedimientos
- Aprobación de los procedimientos por parte de la Jefe de la OTIC
- Aprobación de la consultoría
Las rutas de ubicación de las evidencias en el drive son las siguientes:
Mes de Julio: https://drive.google.com/drive/folders/1xmjfNNYZiKVjsN9nKGPmQ-TXtrSz8p6O
Mes de Agosto: https://drive.google.com/drive/folders/1mt-40hQdscETX8TSij3uhRK9KIqjX0dO
Mes de septiembre: https://drive.google.com/drive/folders/1DvITSQcaQYU88QuB5X4lhwaxfcWf9lDL</t>
  </si>
  <si>
    <t>Se ha iniciado el desarrollo de las actividades orientadas a la creación del Plan estrategico de tecnologías de la Información. Las actividades desarrolladas incluyen las siguientes:
- Identificación del estado actual del Nivel de madurez de la OTIC
- Identificación del estado actual de Servicios Tecnológicos de la OTIC
- Identificación del estado actual de Información
- Identificación del estado actual de Sistemas de Información
- Identificación del estado actual Estrategia de TI
- Identificación del estado actual Gobierno de TI</t>
  </si>
  <si>
    <t>Se adquirierón los equipos requeridos para realizar las labores de localización y prospección de personas dadas por desaparecidas en el marco de la misionalidad de la UBPD de acuerdo a las especificaciones técnicas establecidas en la DTPRI. Posterior al proceso contractual se tiene previsto la recepción de los mismos para diciembre de 2019, por lo anterior se planea valorar los metódos con equipos prestados o alquilados de acuerdo a disponibilidad en otras instituciones. Con relación a los temas de capacitación a los expertos del área se envió un documento con las temáticas y el plan de formación de los servidores de la DTPRI.</t>
  </si>
  <si>
    <t xml:space="preserve">Actas de inicio de los contratos 129, 130, 131 y 132 con cada uno de los proponentes. Documento: Temas propuestos por las direcciones técnicas de la UBPD para formación y capacitación de los equipos </t>
  </si>
  <si>
    <t xml:space="preserve">Se adquirierón los equipos requeridos para realizar las labores de localización y prospección de personas dadas por desaparecidas en el marco de la misionalidad de la UBPD de acuerdo a las especificaciones técnicas establecidas en la DTPRI, cuya entrega será en el cuatro trimestre de 2019. Por lo anterior, se planea realizar las prospecciones con equipos prestados o alquilados de acuerdo a disponibilidad en otras instituciones. 
Por otra parte, la elaboración del procedimiento de prospección está siendo evaluado por la firma consultora encargada del tema, no sin antes indicar que la construcción del documento se inició en el primer trimestre bajo el nombre de procedimiento. </t>
  </si>
  <si>
    <t xml:space="preserve">Actas de inicio de los contratos 129, 130, 131 y 132 con cada uno de los proponentes. Procedimiento de prospección. </t>
  </si>
  <si>
    <t>Se adquirierón los equipos requeridos para realizar las labores de recuperación de personas dadas por desaparecidas en el marco de la misionalidad de la UBPD de acuerdo a las especificaciones técnicas establecidas en la DTPRI. Posterior al proceso contractual se tiene previsto la recepción de los mismos para diciembre de 2019, por lo anterior se planea valorar los metodos con equipos prestados o alquilados de acuerdo a disponibilidad en otras instituciones. Con relación a los temas de capacitación a los expertos del área se envió un documento con las temáticas y el plan de formación de los servidores de la DTPRI.</t>
  </si>
  <si>
    <t xml:space="preserve">Actas de inicio de los contratos: herramientas 074. Documento: Temas propuestos por las direcciones técnicas de la UBPD para formación y capacitación de los equipos </t>
  </si>
  <si>
    <t xml:space="preserve">Se adquirierón las herramientas y elementos requeridos para realizar las labores de recuperación de personas dadas por desaparecidas en el marco de la misionalidad de la UBPD de acuerdo a las especificaciones técnicas establecidas en la DTPRI. La elaboración del procedimiento de recuperación está siendo evaluado por la firma consultora encargada del tema, no sin antes indicar que la construcción del documento se inició en el primer trimestre bajo el nombre de procedimiento. </t>
  </si>
  <si>
    <t xml:space="preserve">Acta de inicio del contratos: herramientas 074.  Procedimiento de recuperación. </t>
  </si>
  <si>
    <t xml:space="preserve">Se contrataron seis equipos técnicos de seis personas cada uno. Quienes iniciaron las labores de registro de datos en SIRDEC y en el instrumento para el diagnostico de los casos en los cuales el cadáver continúa sin identificar y estarán ubicadas en seis direcciones regionales del INMLyCF. </t>
  </si>
  <si>
    <t>Base registro proceso de participación.
Base Diálogos Colectivos
Base de registro unificada de la DIPL.Ruta  E:\lordonezg\Documents\Back Up's\Respuestas Solicitudes\Solicitudes (respuestas) 30-06-19.xlsx</t>
  </si>
  <si>
    <t>Frente al proceso de diseño de lineamientos de reencuentros y entregas dignas con enfoques diferenciales, género y psicosocial se ha avanzado en la estructuración de un documento preliminar y de un plan de trabajo para la construcción de los lineamientos. El documento preliminar presenta el reto de enmarcar las entregas dignas desde el carácter humanitario y extrajudicial. Esto teniendo en cuenta el objeto de la UBPD, dado que de acuerdo a las diferentes solicitudes de búsqueda, la entidad realizará acciones de Coordinación, Dirección o Contribución de acciones humanitarias para la búsqueda de personas dadas por desaparecidas; lo anterior basándose en los desarrollos conceptuales y metodológicos que la Dirección de Participación ha realizado en materia de los principios para participar en un escenario de Entrega Digna o Reencuentro, con la incorporación de los enfoques diferenciales y de género. Así, para los reencuentros, se propone un espacio de acercamiento con la familia o comunidad y la persona dada por desaparecida hallada con vida, pero también de ser necesario, realizar acciones de coordinación interinstitucional. Respecto al avance del indicador, para el tercer trimestre se esperaba haber realizado 2 reencuentros, lo cual no ha sido posible debido a que no han sido reportados a la Dirección Técnica de Participación, Contacto con las Víctimas y Enfoques Diferenciales, el hallazgo o localización de personas vivas.</t>
  </si>
  <si>
    <t>Propuesta Lineamientos de Participación de los Familiares de Personas Desaparecidas
en el marco de la Entrega Digna y Reencuentros desde una perspectiva diferencial y psicosocial</t>
  </si>
  <si>
    <t>Para el desarrollo y diseño de los Lineamientos de los Enfoques Diferenciales y de Género, se han llevado a cabo varias acciones para el relacionamiento con diferentes grupos poblacionales -Mujeres, Personas LGBTI, Pueblos Indígenas, Comunidades afrocolombianas, entre otras- y se ha diseñado toda la estrategia conceptual y metodológica para la consecución de dicho objetivo:
• En materia del Enfoque de Género y DDDH de las Mujeres los principales desarrollos en este trimestre contemplan (1) el proceso de articulación con la Comisión para el Esclarecimiento de la Verdad en el Proceso de Reconocimiento a las Mujeres y Familiares que buscan Personas Desaparecidas. Para ello desde la DTPCVED se delegó a un equipo que construyó insumos técnicos, participó en reuniones, implementar los diferentes escenarios con las mujeres del Comité de Impulso, los 6 Encuentros Territoriales en Villavicencio, Barrancabermeja, Saravena- Arauca, Cúcuta, Tumaco y Medellín, y el Encuentro de Reconocimiento en la Ciudad de Pasto los días 26, 27 y 28 de agosto de 2019. Cabe mencionar, que el proceso permitió fortalecer el relacionamiento con las organizaciones sociales de familiares y recabar insumos para la construcción de los Lineamientos. (2) El otro avance refiere al acompañamiento técnico al Proyecto de ONU Mujeres en Vistahermosa, en el cual se diseñó un Plan de Trabajo de Fortalecimiento del trabajo de la UBPD en el departamento del Meta. (3) Por último se fortalecieron relaciones con la Instancia Especial de Género para el Acuerdo de Paz, lo que supone un insumo significativo en el relacionamiento con las mujeres y las personas LGBTI víctimas del conflicto armado. 
• A su vez, en torno a los Enfoques de Género- Mujeres y Étnico Afrocolombiano se desarrollaron los dos encuentros regionales con mujeres y personas afrocolombianas: el primero, en la ciudad de  Cali el Encuentro “Diálogo Nacional entre la UBPD y el Pueblo Negro, afrocolombiano, palenquero y raizal” que convocó a mujeres afrocolombianas de todo el país, y el segundo, en la ciudad de Barranquilla, el Encuentro con Mujeres del Caribe Colombiano, que abrió un escenario de diálogo y construcción colectiva sobre las experiencias de búsqueda de las  mujeres campesinas, mujeres afrocolombianas, mujeres lideresas, mujeres mestizas y mujeres indígenas de la Costa Caribe. En el marco de los lineamientos, estos encuentros permitieron afianzar la relación conceptual y metodológica entre los Enfoques Diferenciales y de Género y el Enfoque Territorial. 
• En el Enfoque de Género- Personas con Orientaciones Sexuales e Identidades de Género Diversas –LGBTI-, desde la UBPD se ha abierto un diálogo amplio con líderes y lideresas sociales, colectivos y víctimas LGBTI para poder hacer pedagogía sobre el mandato de la entidad y la convocatoria a los Encuentros regionales de diseño de los Lineamientos.  En ese sentido se participó en uno de los Encuentros de la Plataforma LGBTI por la Paz en Ibagué y por invitación de la UARIV en dos Encuentros de Líderes del Enfoque LGBTI en Magdalena y Norte de Santander.
• En torno al Enfoque Étnico –Pueblos Indígenas, se avanzó en el relacionamiento a través de dos líneas de trabajo:  (1) como parte del Protocolo de Relacionamiento con Pueblos Indígenas, se abrieron distintos escenarios de trabajo conjunto con el equipo contratado que hace parte de las organizaciones del Órgano de Interlocución, y , (2) a nivel de despliegue territorial, se abrieron espacios de diálogo intercultural con pueblos y comunidades indígenas como la del Bajo Atrato y de la provincia del Darién. 
• Para culminar el proceso de Consulta previa con el Pueblo Rrom, en el mes de julio se desarrolló el proceso de la Protocolización de la Consulta Previa a través del instrumento de la Ruta de Relacionamiento de la UBPD con el Pueblo Rrom.
• En el Enfoque de Niños, Niñas y Jóvenes, se avanzó en el relacionamiento con BENPOSTA Nación de Muchachos para la construcción de los lineamientos del Enfoque Diferencial de Niños, Niñas y Jóvenes y la recepción de solicitudes de búsqueda. 
• Por último, a través del Proyecto del ICTJ- Embajada de Holanda se diseñaron las herramientas pedagógicas de los Encuentros Regionales para la construcción participativa de los Lineamientos de los Enfoques Diferenciales y de Género y la realización de los Diálogos Internos UBPD con los diferentes equipos misionales de la entidad.
• La DTPCVED, a través del Equipo de Enfoques Diferenciales y de Género, de julio a septiembre de 2019 desarrolló actividades con 45 organizaciones, colectivos, movimientos y plataformas de la sociedad civil, familiares y acompañantes; 23 son nuevas con las cuales se inicia relacionamiento y 22 corresponden a aquellas con las que se da continuidad a relacionamientos previos.</t>
  </si>
  <si>
    <t xml:space="preserve">Listas de asistencia, soportes de memorias, actas de reuniones y actas de encuentros. </t>
  </si>
  <si>
    <t>Proyecto Red de Apoyo Final
Ficha técnica Desaparición Forzada
Ficha técnica Secuestro donde se desconoce el paradero
Presupuesto Desaparición Forzada
Presupuesto Secuestro donde se desconoce el paradero
Proyecto versión cotización 
Modelo de cotización Desaparición Forzada Modelo de cotización Secuestro donde se desconoce el paradero 
Análisis del sector</t>
  </si>
  <si>
    <t>200 personas con asesoría, orientación y fortalecimiento para la participación en la búsqueda</t>
  </si>
  <si>
    <t>457 personas con asesoría, orientación y fortalecimiento para la participación en la búsqueda</t>
  </si>
  <si>
    <t>2 reencuentros solicitados</t>
  </si>
  <si>
    <t>2 entregas dignas solicitadas</t>
  </si>
  <si>
    <t>Durante el tercer trimestre la DTPCVED, realizó los siguientes productos que permitieron avanzar en la etapa precontractual para suscripción de los convenios que permitirán la consolidación de las redes de apoyo. 
1. Proyecto Red de Apoyo Final 
2. Ficha técnica Desaparición Forzada
3. Ficha técnica Secuestro donde se desconoce el paradero
4. Presupuesto Desaparición Forzada
5. Presupuesto Secuestro donde se desconoce el paradero
6. Proyecto versión cotización 
7. Modelo de cotización Desaparición Forzada
8. Modelo de cotización Secuestro donde se desconoce el paradero
9. Análisis del sector.
Lo anterior nos permite tener la estrategia metodológica para la construcción de una red de apoyo, y haber abierto y culminado el proceso de selección de propuestas para los convenios y se espera en octubre la firma y comienzo de la implementación de los mismos.</t>
  </si>
  <si>
    <t>5 organizaciones de la sociedad civil apoyan los procesos de participación en la búsqueda</t>
  </si>
  <si>
    <t>10 organizaciones de la sociedad civil conocen el trabajo de la UBPD e inician un contacto de relacionamiento</t>
  </si>
  <si>
    <t>21 organizaciones de la sociedad civil conocen el trabajo de la UBPD e inician un contacto de relacionamiento</t>
  </si>
  <si>
    <t>1 métodos de prospección valorados</t>
  </si>
  <si>
    <t>1 métodos de recuperación valorados</t>
  </si>
  <si>
    <t>Se inició el diseño del documento: Procedimiento para la entrega de cadáveres y elementos asociados al Instituto Nacional de Medicina Legal y Ciencias Forenses. Reuniones de trabajo con la Subdirección de Servicios Forenses del INMLyCF.</t>
  </si>
  <si>
    <t>Documento borrador del procedimiento de entrega de cadáveres
Reuniones de trabajo con la Subdirección de Servicios Forenses del INMLyCF.</t>
  </si>
  <si>
    <t xml:space="preserve">1. Copia de contratos suscritos
2. Relación contratistas mes septiembre proyecto impulso al proceso de identificación de los cadáveres en condición de no identificados en Colombia </t>
  </si>
  <si>
    <t>En cumplimiento al reporte del tercer trimestre del Plan de Acción, la gestión del componente de bienes y servicios se desarrolló de la siguiente manera:
i) Para los servicios de operador logístico fueron requeridos 147 eventos desagregados así: 10 correspondientes al mes de julio, 62 correspondientes al mes de agosto y 75 correspondientes al mes de septiembre, de los cuales fueron atendidos efectivamente y conforme la programación establecida 132 eventos.
ii) En cuanto a los servicios de aseo y cafetería, mediante la orden compra N° 33792, para el mes de julio fueron requeridos 4 insumos y/o elementos, 11 para el mes de agosto y 9 para el mes de septiembre.
De lo anteriormente señalado se adjuntan las facturas efectivamente tramitadas y correspondientes de los meses de julio y agosto.
iii) En cuanto a los bienes, el trimestre presentó el siguiente comportamiento: fueron recibidas y atendidas 48 solicitudes de bienes al almacén, desagregadas así: en el mes de julio fueron atendidas 3 solicitudes, en agosto fueron atendidas 4 solicitudes y en el mes de septiembre fueron atendidas 41 solicitudes, las cuales se soportan con el respectivo comprobante de egreso.
iv) De la misma manera se realizaron 13 solicitudes de ingreso de bienes al almacén, las cuales fueron atendidas en un 100% de la siguiente manera: En el mes de julio fue atendida 1 solicitud, en agosto fueron atendidas 2 solicitudes y en septiembre fueron atendidas 10 solicitudes; solicitudes que se soportan con el respectivo comprobante de ingreso.
De lo anteriormente señalado, frente a los bienes y servicios, fueron recibidas en total 211 solicitudes de las cuales fueron atendidas durante el trimestre 195 que representa el 92,4%, resultando una gestión óptima.</t>
  </si>
  <si>
    <t>12% de la política de servicio al ciudadano adoptada</t>
  </si>
  <si>
    <t>De acuerdo con indicador 064 de la respectiva ficha, para el tercer trimestre se desarrollaron los siguientes hitos: Se logró la contratación de la profesional para apoyar la gestión de las siguintes actividades i) Diseñar el PIGA (Plan de Acción + Indicadores + Programas): Se diseñó el Plan Institucional de Gestión Ambiental- PIGA de la Entidad, como documento de planificación de la gestión ambiental de la UBPD, adaptando los lineamientos establecidos en la Resolución 242 de 2014 de la Secretaría Distrital de Ambiente. El documento contiene (Plan de Acción + Indicadores + Programas).
ii) Hito Revisar y aprobar del PIGA: En el desarrollo de la actividad, se ejecutaron las siguientes acciones: Remitir vía correo electrónico el PIGA a las coordinaciones de las sedes territoriales para revisión y aportes. Se realizaron los ajustes con base en las observaciones remitidas. Se remitió vía correo electrónico el PIGA a la Subdirección Administrativa y Financiera para revisión. Se remitieron a la Oficina Asesora de Planeación los procedimientos y matrices que hacen parte del PIGA para revisión, elaboración de flujograma y codificación. Se remitió a la Subdirección Administrativa y Financiera la política de gestión ambiental para revisión y posterior presentación ante el Comité de Gestión.  
iii) Con base en lo establecido en el Artículo 2 de la Resolución 242 de 2014 “Por la cual se adoptan los lineamientos para la formulación, concertación, implementación, evaluación, control y seguimiento del Plan Institucional de Gestión Ambiental –PIGA” - de la Secretaría Distrital de Ambiente y el Decreto 165 de 2015 de la Alcaldía Mayor de Bogotá, el Plan Institucional de Gestión Ambiental de la UBPD no debe ser presentado a la Secretaría Distrital de Ambiente para su aprobación, no requiere los ajustes de acuerdo con las observaciones de la SDA y no requiere la conformación del comité de gestión ambiental. No obstante, la UBPD elaboró el Plan Institucional de Gestión Ambiental- PIGA, como un documento de planificación de la gestión ambiental de la Entidad, el cual contiene además de los 5 elementos referenciados en el Artículo 8 de la resolución en mención, los responsables para la garantizar la efectiva gestión ambiental de la Entidad. 
Conforme lo anteriormente descrito, estos hitos no serán reportados y se gestionará la modificación de los mismos en el plan de acción.
En este orden para el trimestre correspondiente se alcanza una ejecución del 45% con un nivel en riesgo, por lo cual con el ajuste que se logre en el plan de acción se dará cumplimiento a la implementación del PIGA para el reporte final.</t>
  </si>
  <si>
    <t xml:space="preserve">1. Memorandum de Entendimiento con Fundación Carter - fecha firma del convenio 29 de agosto de 2019 por parte de representante de la Fundación Carter y pendiente de firma de la UBPD en espera de la llegada de los documentos originales a Bogotá. 
2. Acuerdo Grant Agreement In-Kind, suscrito el 30 de septiembre de 2019 por parte de la UBPD. Se remite la copia firmada por la Unidad en espera de devolución del original firmado por el cooperante (USAID/CHEMONICS).  
Otros soportes: 
1. AECID, correo remitido por el cooperante 
2. ICMP: propuesta ICMP y el acta de reunión </t>
  </si>
  <si>
    <t>De acuerdo con indicador 063 de la respectiva ficha, para el tercer trimestre se programó un avance del 39%, el cual se evidencia de la siguiente manera: 
i) Tramite de ajustes del documento de Política de Servicio al Ciudadano, del cual es preciso indicar que, una vez llevada a cabo la presentación en el Comité de Gestión del 25 de junio, el documento fue remitido a las dependencias con los ajustes incorporados y nuevas retroalimentaciones de las cuales fueron recibidas y adoptadas por la Dirección de Participación, Gestión del Conocimiento, OTI, Oficina de Comunicaciones. Sin perjuicio de lo anterior solo hasta el 30 de septiembre de 2019 fueron remitidas las observaciones de la Oficina Asesora Jurídica sobre la Política de Servicio al Ciudadano pese a las tres solicitudes elevadas a través de Memorandos 18062019-210-3-694 del 18 de junio de 2019, Memorando 17072019-210-3-851 de 17 de julio, Correo electrónico del 21 de agosto de 2019 y Memorando 160-3-201901328 del 9 de septiembre de 2019. 
Actualmente la Política fue ajustada y se adjunta al presente reporte para verificación, por lo cual se da cumplimiento al avance porcentual establecido para el hito. 
ii) Presentación al comité de gestión:  el documento elaborado fue presentado en su primera versión en el Comité del 25 de junio, sin embargo, hasta el 30 de septiembre se recibieron las recomendaciones de la Oficina Asesora Jurídica razón por la cual la Política no ha sido nuevamente propuesta en Comité, y se espera la programación en sesión de octubre para gestionar su respectiva aprobación.
iii) Elaboración del acto administrativo para su adopción: Dadas las situaciones expuestas anteriormente, no se evidencia ejecución del hito al respecto. 
iv) Presentar el plan de Servicio al Ciudadano para aprobación: el plan de trabajo se encuentra aprobado por la Secretaría General y la Subdirección Administrativa y Financiera de lo cual media acta de validación del 13 de junio de 2019, en este orden se cumple con el porcentaje del 10% establecido y programado. V) Realizar seguimiento al plan de servicio al ciudadano: El proceso de servicio al ciudadano ha llevado a cabo los seguimientos correspondientes con el equipo de trabajo, los cuales se relacionan a continuación: estado de avance cualitativo y cuantitativo con corte del 13 mayo al 13 de junio de 2019, estado de avance cualitativo y cuantitativo con corte de verificación del 14 junio al 13 de julio de 2019 y estado de avance cualitativo y cuantitativo con corte de verificación del 14 julio al 1 de octubre de 2019; en este orden se cumple con el porcentaje del 5% establecido y programado.
En este orden para el trimestre correspondiente se alcanza una ejecución del 12% trimestral y del 48% total acumulado para la vigencia. Se proyecta el logro a satisfacción del indicador al final de la vigencia, dando cumplimiento a los hitos que no fueron logrados en el actual trimestre por las razones expuestas anteriormente.</t>
  </si>
  <si>
    <t>1. La OAP realizó monitoreo y seguimiento del Mapa de Riesgos de Corrupción del segundo periodo de 2019. Así mismo, fue publicado en la página web de la UBPD
2. Se desarrollaron los mapas de riesgos de proceso de los procesos estratégicos, apoyo y evaluación de la Entidad.
3. La política de administración de riesgos fue construida en mesa de trabajo desarrollada el día 13 de junio de 2019, en la cual se llevó a cabo un ejercicio colectivo que permitió la elaboración de una propuesta de política de política de riesgos, esta fue enviada mediante correo electrónico para la revisión y observaciones, resultado del ejercicio se ajustó el documento.
4. Se avanzó el en diseño de los procesos, procedimientos y demás documentos de los procesos estratégicos, apoyo y evaluación. Así mismo se construyó la ruta del proceso de búsqueda que dará la orientación al proceso misional.
5. El día 26 de agosto de 2019 se remitió por correo electrónico una propuesta de trabajo para continuar con el análisis para abordar los elementos o temas asociados a políticas de gestión, en reunión con la Dirección General se ha decidido iniciar con el abordaje de los siguientes: 1. Transparencia, acceso a la información pública y lucha contra la corrupción, racionalización de trámites, gestión documental y Seguridad digital.
Las demás temáticas de las políticas de gestión ya se están desarrollando por los líderes y se ha avanzado en la implementación en la UBPD.
6. Proyección de los lineamientos para el diseño e implementación de políticas de gestión en la UBPD y proyecto de resolución derogatoria del Comité de Gestión, documentos enviados mediante memorando el día 26 de septiembre de 2019, atendiendo las recomendaciones hechas en el Comité Institucional de Coordinación de Control Interno realizado el día 19 de septiembre de 2019. 
7. Acompañamiento de la OAP en el diligenciamiento de la matriz para el análisis de las diferentes políticas de gestión donde se establece las acciones a desarrollar y solicitud de concepto jurídico sobre la aplicación de la política de racionalización de trámites en la UBPD.
8. En el Comité Institucional de Coordinación de Control Interno realizado el día 19 de septiembre de 2019 se presentaron cada uno de los componentes del MECI y las acciones generales a desarrollar, por parte de cada uno de los líderes de estas temáticas, para la revisión y aprobación de los miembros del Comité.</t>
  </si>
  <si>
    <t>La OAP envió a los responsables de la ejecución de recursos 4 informes de seguimiento a la ejecución presupuestal de los proyectos de inversión de la UBPD, comparando la ejecución de la entidad con la del SIVJRNR. Adicionalmente, a los mismos responsables de la ejecución de recursos se enviaron 3 alertas correspondientes a la programación del Plan Anual de Adquisiciones y los saldos de recursos pendientes por gestionar. Tambien, se realizaron 5 reuniones de trabajo con los responsables de la ejecución del presupuesto de inversión, con el fin de verificar los contratos pendientes, los saldos por programar, las posibles contrataciones por incluir en el Plan Anual de Adquisiciones y el monto de los recursos suceptibles de no ejecución y posible devolución. Dentro de las alertas enviadas, la Oficina Asesora de Planeación sugirió solicitar al Ministerio de Hacienda y Crédito Público la devolución de los recursos que no se fueran a ejecutar.</t>
  </si>
  <si>
    <t>La Oficina de Control Interno realizó seguimiento al Estado del Sistema de Control Interno de acuerdo  a la matriz de autodiagnóstico de gestión de Política de Control Interno con fecha de corte 01 de abril al 31 de julio de 2019, este informe fue presentado al Representante Legal y a los miembros del Comité Institucional de Coordinación de Control Interno  mediante el memorando N. 100-3-201901258 de fecha 02 de septiembre de 2019. Con base en este informe, los líderes de proceso formularán un plan de acción que les permita subsanar las brechas encontradas en el diagnóstico y diseñar e implementar el Sistema de Control Interno de la UBPD.</t>
  </si>
  <si>
    <t>1. Informe Pormenorizado del Sistema de Control Interno vigencia 2019, el cual se encuentra publicado en la página web de la UBPD en el siguiente link: https://www.ubpdbusquedadesaparecidos.co/wp-content/uploads/2019/08/Informe-Pormenorizado-del-Sistema-de-Control-Interno-1-Abril-al-31-de-Julio-de-2019.pdf y se entrega también como anexo con el presente reporte.
2. Memorando de envío del informe.</t>
  </si>
  <si>
    <t>1. La Jefe de la Oficina de Control Interno envío mediante correo electrónico del 28 de junio de 2019, memorando de encargo para la asignación de auditora a la Política de Cuidado a las auditoras Gina Dueñas y Yamile Aya.
2. Memorando N. 02072019-220-03-723 del 02 de julio de 2019, se informa a la Subdirección de Gestión Humana, el inicio de la auditoría de Política de Cuidado.
3. Mediante correo electrónico se realiza la solicitud de información y documentos soportes de la auditoria de Política de Cuidado.
4. Entrega del informe preliminar mediante el memorando N. 220-3-201901299 de fecha 05 de septiembre de 2019, a la Subdirección de Gestión Humana.
5. Mediante el memorando N.130-3-201901462 del 17 de septiembre de 2019, La Subdirección de Gestión Humana remitió las observaciones del informe preliminar.
6. Memorando N.220-3-201901578 de fecha 30/09/2019, cierre de la auditoría y entrega del informe final Auditoría Política de Cuidado.
7. Listado de asistencia de la entrega del informe final de auditoria del 01 de octubre de 2019.
8. La Jefe de la Oficina de Control Interno envío mediante correo electrónico  del 16 de agosto de 2019, memorando de encargo para la asignación del proceso de la Auditoria de Gestión contractual a las auditoras Natalia Ballen y Gina Dueñas.
9. Memorando N.200-220-03-201901123 del 20 de agosto de 2019, donde se informa el inicio de la auditoría al proceso de Gestión Contractual.
10. Mediante correo electrónico de fecha 26 de agosto de 2019, se realiza la solicitud de información y documentos soportes de la auditoria del proceso de Gestión contratación.</t>
  </si>
  <si>
    <t>En cumplimiento al programa Anual de auditorías y seguimientos vigencia 2019, la Oficina de Control Interno realizó (2) auditorías, conforme al III trimestre de 2019, las cuales son las siguientes:
1. Auditoría de Política de Cuidado Institucional, se dio inicio a la auditoría  el día 2 de julio de 2019, con la Subdirección de Gestión Humana, en el desarrollo se solicitaron las evidencias y soportes documentales, para lo cual, la OCI ya emitió el informe preliminar y el informe final de la auditoría.
2. Auditoría al proceso de Gestión Contractual, se dio inicio a la auditoría el día 2 de julio de 2019, con la Secretaría General, actualmente la Oficina de Control Interno se encuentra en la revisión de los contratos, SECOP, entrevistas, elaboración del informe preliminar y la fecha del cierre de la auditoría se tiene programada para el día 31 de octubre de 2019.</t>
  </si>
  <si>
    <t>Durante el tercer trimestre la DPCVED ha asesorado, orientado y fortalecido a 457 personas. Las mismas corresponden a 314 diálogos iniciales con la participación de 394 personas, 14 diálogos para ampliar la información - de documentación- con la participación de 25 personas, 17 acciones de orientación, asesoría y fortalecimiento con la participación de 28 personas, 2 diálogos de devolución con la participación de 2 personas y 3 diálogos de implementación de acciones humanitarias con la participación de 8 personas.
De los 314 diálogos iniciales, 256 de estos con la participación de 307 personas, fueron realizados por el equipo territorial, según reporte de la Dirección de Información, Planeación y Localización -DIPL-. Sin embargo, la DIPL, advierte que dicho reporte se encuentra en proceso de migración y verificación con la base de registro unificada, proceso que es dispendioso, por lo que no se podría tomar como cifra final o definitiva.
Frente a las actividades planteadas para el cumplimiento del indicador: - Se cuenta con documento preliminar de la estrategia metodológica del proceso de participación, -Para la definición de contenidos para la elaboración de piezas comunicativas y material pedagógico para el proceso de participación, se han realizado contenidos y materiales como la elaboración de rompecabezas para socializar y comunicar las fases de búsqueda a familiares, allegados, comunidades y organizaciones, en conjunto con la Oficina Asesora de Comunicaciones y Pedagogía se elaboró un rompecabezas didáctico con el fin de que las personas puedan conocer el proceso de búsqueda en la UBPD e identificar a partir de sus experiencias en donde se encuentran y cómo será su proceso de participación, se participó en la elaboración de piezas de comunicación en el marco de la estrategia circulo de saberes creativos: Del 10 al 13 de septiembre en la ciudad de Montería la DTPCVED participó en la estrategia “Circulo de Saberes Creativos” liderada por la Oficina Asesora de Comunicaciones y Pedagogía y en la cual se diseñó junto con familiares que buscan a personas dadas por desaparecidas en la propuesta de un documental que permita visibilizar distintas experiencias de búsqueda, se hizo la presentación de insumos para la elaboración de piezas didácticas: se definieron e identificaron necesidades de socialización de temas de interés para las personas que buscan a sus seres queridos y se presentaron a la oficina asesora de comunicaciones y pedagogía, tres propuestas de juegos que permitan la socialización de los temas, a saber, Lotería de la participación, con la cual se pretende apropiar las características del mandato de la UBPD; Ejercicio “Humanitario” y “Judicial”, el cual permite comprender los conceptos del carácter humanitario y judicial de la UBPD, se diseñaron  fichas para socializar el SIVJRNR y el Mandato de la UBPD; se entregaron insumos y se elaboró conjuntamente con la oficina asesora de comunicaciones y pedagogía un diseñó de iconografías para la creación de unas fichas que permitan explicar la conformación del SIVJRNR y las características de la UBPD, y se diseñaron fichas para socializar los principios del protocolo de relacionamiento con pueblos y comunidades indígenas. -En conjunto con la oficina de gestión del conocimiento se viene diseñando la evaluación de la estrategia metodológica.
Finalmente, frente a la implementación de la estrategia metodológica del proceso de participación con familiares en el exilio, se ha venido sosteniendo un proceso de relacionamiento con organizaciones acompañantes y de víctimas de familias en situación de exiliadas, refugiadas e inmigrantes. A partir de este proceso, se construyó conjuntamente con las familias, un plan de trabajo que busca fortalecer las condiciones de participación, para ser desarrollado durante seis meses, que permita continuar con el proceso de diálogos de ampliación de información o de documentación de los casos que fueron entregados a la UBPD y el mapeo de las familias en situación de exiliadas, refugiadas e inmigrantes, en el proceso de búsqueda humanitaria y extrajudicial y organizaciones acompañantes en los países del Cono Sur y Europa, entre otros.</t>
  </si>
  <si>
    <t xml:space="preserve">Propuesta Lineamientos de Participación de los Familiares de Personas Desaparecidas
en el marco de la Entrega Digna y Reencuentros desde una perspectiva diferencial y psicosocial.
Acta Entrega Digna Sr. Heli Ballesteros 
Acta Entrega Digna Sr. William Ricardo Barón. </t>
  </si>
  <si>
    <t>Actas, listados de asistencia, bases de datos y demás soportes relacionados</t>
  </si>
  <si>
    <t xml:space="preserve">El mes de julio inició con 40 vacantes. Sin embargo, el 31 de julio de 2019 el Ministerio de Hacienda aprobó la asignación de recursos para cubrir el faltante de la financiación del plan de vinculación, 203 cargos, para el total de los 417 cargos contemplados en la gradualidad 2018-2019. Por lo anterior y luego de proveer 27 cargos en el tercer trimestre y del retiro de 6 servidores de la UBPD, quedan 222 vacantes al inicio del último trimestre del 2019. El indicador entonces se calcula así: 27 cargos provistos, sobre 222 vacantes al 30 de septiembre, para un total de 12,2%. </t>
  </si>
  <si>
    <t>Se publicó la resolución de horario flexible y de estímulos el 22 de julio por parte de la Directora General para los servidores de la UBPD. Se realizaron 14 diálogos de equipo en el nivel central y territorial. El 20 de septiembre se envió mensaje de amor y amistad a todos los servidores entregando un detalle alusivo al día. No se realizó la semana de la salud ya que no existe un espacio apropiado para recibir a todos los servidores que deseen participar, por tal motivo se decide aplazar la semana de la salud hasta que la UBPD se traslade y habilite espacios adecuados. Las demás actividades hacen parte del proceso de contratación que aún no se ha adjudicado, razón por la cual no se realizaron.</t>
  </si>
  <si>
    <t>Se dio cumplimiento de la meta para el tercer trimestre de acuerdo con el plan de trabajo para la implementación del SG-SST, a continuación, se describe las actividades realizadas durante el trimestre:
• Se conformaron los siguientes comités: Comité Paritario de Seguridad y Salud en el Trabajo (COPASST) y Comité de Convivencia Laboral, los cuales ya se encentran en funcionamiento.
• Se establecieron los mecanismos de comunicación frente al SG-SST, este ya fue revisado por la Subdirección de Gestión Humana, sin embargo, se espera en el mes de octubre presentar la matriz a la Oficina de Comunicaciones y Pedagogía.
• Se realiza el seguimiento de la inclusión de los lineamientos a los contratos de prestación de servicios de personas naturales, en el 4 trimestre se verificará la inclusión a los contratos como vehículos, servicios generales, instalaciones entre otras.
• Se estructuró el procedimiento para la gestión del cambio dirigido a SST, y se solicitó su creación y aprobación en el Sistema de Gestión el 16 de octubre.
• Actividades de prevención y promoción:  Pausa activas (3 sesiones), Jornada de vacunación contra fiebre amarrilla, influenza, sarampión y tétano. Capacitación brigada de emergencias (contraincendios).
• Se dio inicio con el proceso de contratación del profesiograma, en la actualidad se cuenta con la ficha técnica para realizar el proceso de cotización y levantamiento del estudio de mercado que fue radicada para el correspondiente estudio de mercado el 25 de septiembre
• Se estructuro el programa de hábitos y estilos de vida saludables, se solicitó su creación y aprobación en el Sistema de Gestión el 23 de octubre.
• Se estableció el plan de emergencia para la sede de Bogotá del cual se solicitó su creación y aprobación en el Sistema de Gestión el día 17 de septiembre, pero se aprobó hasta el 11 de octubre.
• Se diseñó la Matriz de indicadores del SG-SST (Estructura-Proceso y Resultado).</t>
  </si>
  <si>
    <t>El 6 de junio se presentó al Comité de Gestión el proceso para trabajar el código de integridad. De esta forma se efectuó reunión el 27 de junio y se inició el proceso de consolidación de valores para presentar en el próximo comité de gestión.  La Oficina de gestión del Conocimiento no estuvo de acuerdo de trabajar con este código de MIPG y solicitó esperar la formulación de la naturaleza juridica de la UBPD antes de dar continuidad al tema.  En comité del  día 24 de julio de 2019 la Oficina  Asesora Jurídica efectuó una presentación sobre la naturaleza juridica de la UBPD y consideró que cada área debe presentar su propuesta de políticas a la luz de la naturaleza especial de la entidad, sobre el cual se emitiría un concepto. Posteriormente se informó que no se emitiría concepto y que se trabajara con la presentación.</t>
  </si>
  <si>
    <t>Sin soportes</t>
  </si>
  <si>
    <t xml:space="preserve">Se efectuó encuesta de resilencia emocional el día 3 de septimebre como insumo de la medición de clima laboral, la cual está en proceso de tabulación e informes de cada una de las variables. </t>
  </si>
  <si>
    <t xml:space="preserve">Correo de envío de encuesta y Analisis Preliminar encuesta Resiliencia </t>
  </si>
  <si>
    <t>5,5% del sistema de seguridad y salud en el trabajo implementado</t>
  </si>
  <si>
    <t>Se realiza la contratación del aseguramiento de la plataforma Gsuite incluido el correo electrónico, donde se han realizado configuraciones propias de la herramienta a fin de mitigar posibles riesgos de seguridad.
- Se realizó la contratación de Canales de comunicaciones de las sedes territoriales donde se incluyó los servicios de seguridad centralizada, a la fecha de este reporte se está iniciando con el despliegue de dichos canales en la medida de entrega de sedes territoriales.
- Se consolida las licencias Microsoft en los portales destinados para el fin, donde se realiza suscripción de la entidad con la cuenta coadmin@ubpdbusquedadesaparecidos.co y donde se seguirán incluyendo todas las licencias asociadas a la UBPD.
 - Se elaborá el plan de seguridad para 2019 teniendo en cuenta el marco de referencia establecido.
El documento se puede consultar en:
https://drive.google.com/open?id=18IX4AngTpnnJ-M1CX3LAl5HQmUDMGHLy</t>
  </si>
  <si>
    <t>24% de ejecución del plan de estudios e investigaciones</t>
  </si>
  <si>
    <t>HITO 1: Estado del arte sobre la desaparición de personas en contextos de conflictos armados y violencia sociopolítica: Se realizó un informe que da cuenta del avance documental en la recolección, organización y categorización de la información y de los principales debates encontrados en la literatura académica y no académica revisada. 
HITO 2: Dinámicas y lógicas de las violaciones a los DDHH asociadas a la desaparición de personas en el contexto y en razón del conflicto armado en Colombia: se avanzó en la redacción de un documento que constituye la mirada preliminar de las dinámicas territoriales y temporales de la desaparición de personas a partir del análisis de fuentes tanto cuantitativas como cualitativas. 
HITO 3: Metodologías de los procesos de búsqueda de las personas desaparecidas en contextos de violencia sociopolítica a nivel internacional: se elaboró un  primer documento con la definición de las experiencias internacionales a documentar y la razón de ser de esta elección. 
HITO 5: Apoyos puntuales:
A la Dirección de Participación: Apoyo en la caracterización de los ejercicios de diálogos, acciones de asesoría, orientación y fortalecimiento de familias y personas allegadas, por parte del equipo de participación. Hasta el momento se tiene construido un instrumento que opera como hoja de ruta para el apoyo de la OGC y seguimiento por parte de la Dirección de Participación.</t>
  </si>
  <si>
    <t>HITO 1: Estado del arte sobre la desaparición de personas en contextos de conflictos armados y violencia sociopolítica
HITO 2: Dinámicas y lógicas de las violaciones a los derechos humanos asociadas a la desaparición de personas en el contexto y en razón del conflicto armado en Colombia.
HITO 3: Metodologías de los procesos de búsqueda de las personas desaparecidas en contextos de violencia sociopolítica a nivel internacional
HITO 5: Apoyos puntuales: Documento con la propuesta de apoyo en la caracterización de los ejercicios de diálogos, acciones de asesoría, orientación y fortalecimiento de familias y personas allegadas, por parte del equipo de Participación.</t>
  </si>
  <si>
    <t>1 soluciones a obstáculos y riesgos de gestión de conocimiento identificados</t>
  </si>
  <si>
    <t>Este indicador se mide a través de dos documentos: en el primero de ellos está el diagnóstico del proceso de creación, circulación, uso y apropiación del conocimiento en la Unidad de Búsqueda. Este es un documento grande que se compone de varios documentos, que en su versión final serán capítulos, que dan cuenta del nivel actual de la gestión del conocimiento y los obstáculos que se enfrentan en la UBPD con miras a definir la estrategia a aplicar en la materia: a) Un documento que se denomina de posición inicial que caracteriza a la oficina de gestión de conocimiento e incluye definiciones sobre conceptos claves para trabajar la estrategia posteriormente,  b) un documento que hace una caracterización de la cultura organizacional como base para la gestión del conocimiento al interior de la UBPD y c) el mapeo de flujos actores y procesos relevantes de la gestión de conocimiento y la identificación de obstáculos, riesgos y saberes que aportan a la labor de la Unidad de búsqueda. En esta parte se avanzó en los dos primeros documentos el último se atrasó debido a las agendas de los servidores de la Unidad que aportan la información base. Con base en estos documentos se hace el reporte cuantitativo del presente período.
El segundo es el documento que con estos insumos desarrollará la OGC y contiene la estrategia de gestión del conocimiento, se entregará en diciembre.</t>
  </si>
  <si>
    <t>Se adjunta el primer documento soporte: posición inicial y conceptos.
El documento de cultura se entregó a la Directora General para su visto bueno y su divulgación depende de su aprobación. 
El documento de mapeo, flujos y obstáculos se adjunta los listados de asistencia de las sesiones de levantamiento de información y la matriz inicial de recolección. El análisis de la misma se entregará a finales de octubre con un documento resumen de la situación de diagnóstico completa.</t>
  </si>
  <si>
    <t>23,5% de las herramientas para la creación, el flujo, la apropiación y el uso del conocimiento en la UBPD, implementado</t>
  </si>
  <si>
    <t>2 Auditorías de control interno realizadas</t>
  </si>
  <si>
    <t>22 acciones de pedagogía y comunicación estratégica externa</t>
  </si>
  <si>
    <t>29 acciones de pedagogía y comunicación estratégica externa</t>
  </si>
  <si>
    <t>* Se avanzó en el desarrollo de contenidos pedagógicos a través de talleres de plastilina con "Te lo explico con plastilina" el viernes 26 de julio con servidores y contratistas de la UBPD y el  y el 14 de septiembre con niños y niñas, en Bogotá, con el fin de elaborar piezas aniñadas en plastilina que expliquen el proceso de búsqueda.   
* Se finalizó la Fase Exploratoria de la Estrategia Círculo de Saberes, se implementó la Fase II y se inició la Fase III. 
* Se avanzó en la producción y emisión del programa de radio en Radio Nacional y en la preproducción de la serie documental para televisión en la definición de los temas por capítulos y la definición y contacto con las fuentes.  
* Se avanzó en la publicación en la página web de la información mínima requerida por los estándares de Transparencia y Acceso a la Información, que consistió en actualizar por un lado los procesos y procedimientos de la UBPD así como su Plan Estratégico, en Plan anticorrupción, el informe de Austeridad, el Directorio de la entidad y la Política de Transparencia y Acceso a la Información. Por otro lado se actualizaron el Plan y Manual de Atención y servicio al ciudadano y los informes de PQRSD hasta la fecha. Adicional a eso se actualizó el documento de Preguntas Frecuentes de la UBPD y el normograma de Desaparición Forzada. 
* Se avanzó en la movilización de periodistas a través de proyecto con Consejo de Redacción, CICR y PNUD, mediante la construcción del manual "Pistas para investigar la desaparición y la búsqueda de personas Diálogos con la Ausencia". 
* Se avanzó en las gestiones con medios de comunicación para la publicación de contenidos noticiosos de la UBPD e historias de búsqueda de familiares, así como en el monitoreo, medición y análisis. 
* Se entrega reporte digital de julio a septiembre.</t>
  </si>
  <si>
    <t>ESTRATEGIA CÍRCULO DE SABERES (8): FASE EXPLORATORIA  1. Encuentro Fase Exploratoria. Villavicencio. FASE II y FASE III: 1. Encuentro Sincelejo Fase II; 2. Encuentro Villavicencio Fase II; 3. Encuentro Apartadó Fase II; 4. Encuentro Puerto Asis Fase II; 5. Encuentro San José Apartadó Fase II; 6. Encuentro Córdoba Fase II; 7. Puerto Asís Fase III.
PIEZAS IMPRESAS (1): Folleto de bolsillo.
ESTRATEGIA DIGITAL (3): 1. Semana Pueblos Indigenas; 2. Diccionario; 3. Proyecto Identificacion Cuerpos. 4. Reporte digital julio-septiembre.
CAMPAÑA SENSIBILIZACIÓN Y MOVILIZACIÓN (2): 1. Informativo Radial 1; 2. Informativo Radial 2. 
OTROS (15):  1. Cubrimiento Plan Protocolarización Pueblo Rrom. // 2. Cubrimiento Plan Piloto Norte de Santander.  // 3. Cubrimiento FAFG 2do Encuentro. // 4. Cubrimiento Cartografías de la memoria. 
5. Cubrimiento Encuentro Sistema // 6. Cubrimiento Entrega FARC. // 7. Cubrimiento entrega informes Víctimas Exilio. // C1058. Cubrimiento Encuentro Comunidades Negras. // 9. Campaña Consejo Asesor. // 10. Espacio Pedagógico Reinicar Florencia.  // 11. Espacio Pedagógico MOVICE Córdoba // 12. Encuentro reconocimiento Pasto // 13. Espacio Pedagógico Reiniciar Meta. // 14. Espacio Pedagógico Reinicar. Bogotá. // 15. Cubrimiento Conmemoración 30 de agosto.</t>
  </si>
  <si>
    <t>* Maqueta de la Intranet.
* Boletín No. 8.
* Carteleras julio, agosto, septiembre.
* Reporte digital que incluye reporte correo institucional.</t>
  </si>
  <si>
    <t>Se realizó el cubrimiento audiovisual y fotográfico de los espacios de conversatorios y conferencias realizados por las diferentes dependencias misionales. 
Se elaboró y socializó internamente el boletín No. 8.
Se actualizó periódicamente la cartelera interna.
Se compartió periodicamente información de interés para los servidores y contratistas de la UBPD a través del correo electrónico de comunicaciones y se apoyó en el desarrollo de piezas gráficas.  
Se avanzó en la construcción de la maqueta de la Intranet de la UBPD.</t>
  </si>
  <si>
    <t>1 herramientas de comunicación interna</t>
  </si>
  <si>
    <t>20% de avance en la elaboración del documento de la política de prevención del daño antijurídico realizado</t>
  </si>
  <si>
    <t xml:space="preserve">En sesión del 31 de julio de 2019 del Comité de Conciliación, fueron estudiadas  y aprobadas las políticas de prevención del daño antijurídico de la UBPD.  Con el propósito de ser remitidas a la ANDJE se realizaron los ajustes sugeridos por los integrantes del Comité, los cuales se encuentran documentados en el Acta No. 3. El 14 de agosto fue remitido a la ANDJE el documento de políticas de prevención del daño antijurídico.  La ANDJE  a través de Oficio 20193010172471-SA,  de fecha 23 de agosto de 2019,  comunicó a la UBPD la aprobación metodológica de las citada política.  </t>
  </si>
  <si>
    <t>Se adjunta oficio de la ANDJE No.0193010172471-SA, de fecha 23 de agosto de 2019 a través del cual se imparte aprobación metodológica a las políticas de prevención del daño antijurídico de la UBPD. En el mismo archivo se encuentra el documento "Políticas de prevención del daño antijurídico de la UBPD" que fue aprobado.</t>
  </si>
  <si>
    <t>2 entidad con relacionamiento activo con la UBPD</t>
  </si>
  <si>
    <t>Teniendo en cuenta lo estipulado por el Decreto Ley 589 en cuanto a la relación de la UBPD-INMLCF, se avanza en la elaboración del protocolo de relacionamiento entre las dos Instituciones, los primeros aspectos a tratar de este Protocolo son:
a. Desarrollo de un procedimiento estandarizado de trabajo por parte del INMLCF para el recibimiento de los cadáveres y los elementos relacionados a estos, recuperados por la UBPD, en un marco extrajudicial. 
b. Intercambio de información, especialmente en lo relacionado a las bases de datos administradas por el INMLYCF: Registro Nacional de Desaparecidos, SIFMELCO, Banco de perfiles genéticos. Incluye desarrollo del capítulo de la UBPD en SIRDEC. 
c. Intercambio de conocimiento: Experiencias del trabajo en la búsqueda de desaparecidos, formación académica, entre otros. 
d. Cooperación por parte de la UBPD en el desarrollo de proyectos con fines de impulsar la identificación humana en el país, en temas como:                                                            
     1. Revisión del diagnóstico del estado del proceso de identificación de los cadáveres no identificados -CNI- en el país, con extensión a las ocho sedes regionales del INMLCF.
     2. Análisis genético de muestras de CNI. 
     3. Revisión de las coincidencias halladas por los cruces realizados en el Banco de Perfiles Genéticos.
Desde enero de 2019 se empezó el relacionamiento con la Registraduría. Se sostuvo una reunión en la cual esa entidad manifestó interés en suscribir un convenio para el acceso remoto a las bases de datos de identificación. Para suscribir este Convenio, pidió una serie de requisitos en términos de seguridad digital y seguridad de la información. La UBPD podrá cumplir con los requisitos en el 2020. En el 2019 también se ha solicitado información específica a la Registraduría, y esta información ha sido recibida. Los soportes de las comunicaciones enviadas a Registraduría se encuentran en el archivo de la Dirección de Información. En todo caso, estas acciones dan cuenta del relacionamiento activo con esta entidad en la actual vigencia.</t>
  </si>
  <si>
    <t>Actas de reunión realizadas entre la UBPD y el INMLCF.
Documentos de requisitos remitidos por la RNEC:
   1. Manual de politicas de seguridad.
   2. Modelo estudio de necesidad.</t>
  </si>
  <si>
    <t>40% de protocolo de información construido</t>
  </si>
  <si>
    <t>El borrador fue elaborado con base en varias consultas entre las 2 entidades. Actualmente se encuentra en el despacho de la Directora General de la UBPD para su consideración y aprobación. Una vez concluido esto, se entrara en una fase de discusión del texto con la CEV para su adopción por las 2 entidades.</t>
  </si>
  <si>
    <t>Protocolo CEV y UBPD Versión_Borrador</t>
  </si>
  <si>
    <t>11% de avance en el diseño e implementación de los mecanismos de planeación y seguimiento a la operación misional de las áreas a cargo de la subdirección técnica y territorial</t>
  </si>
  <si>
    <t>39% de avance en el diseño e implementación de los mecanismos de planeación y seguimiento a la operación misional de las áreas a cargo de la subdirección técnica y territorial</t>
  </si>
  <si>
    <t>Para el tercer trimestre se reporta el siguiente avance en la vinculación de los siguientes cargos a la planta de la SGTT: Una (1) Subdirectora General Técnica y Territorial, Un (1) Experto Técnico Grado 5 para adelantar las actividades de seguimiento a la gestión, coordinación y evaluación de la gestión.
Por otra parte, se relacionan las distintas mesas de trabajo que se han adelantando con el objetivo de realizar el seguimiento a la operación misional, entre las siguientes:
1. Reunión de equipo administrativo nivel central y nivel territorial para seguimiento de criterios para sedes territoriales definitivas y gestión de correspondencia 09 de julio de 2019.
2. Una mesa de trabajo de equipo administrativo y Subdirectora el 12 de agosto de 2019.
3. Una mesa de trabajo con los enlaces de planeación de las Direcciones Misionales para establecer mecanismos de seguimiento a la gestión administrativa y misional el 13 de septiembre de 2019
4. Mesa de trabajo coordinadores territoriales y la SGTT del 17 al 20 de septiembre 2019
5. Mesa de trabajo con enlaces de planeación para la implementación de herramientas de seguimiento a las actividades misionales de la SGTT
Así mismo, se han implementado las siguientes herramientas para el seguimiento a la gestión misional:
1. Cuadro de seguimiento a comisiones.
2. Matriz de seguimiento a eventos con operador logístico.
3. Programación y monetizacion de comisiones.</t>
  </si>
  <si>
    <t>1. Acta de reunión y listas de asistencia reunión equipo administrativo nivel central y nivel territorial para seguimiento de criterios para sedes territoriales definitivas y gestión de correspondencia 09 de julio de 2019.
2. Agenda de reunión con coordinadores de equipos territoriales del 17 al 19 de septiembre 2019
3. Listas de asistencia mesas de trabajo con coordinadores de equipos territoriales del 17 al 19 de septiembre
4. Propuesta de herramienta para seguimiento de metas vigencia 2020.
5. Herramienta de seguimiento presupuestal y contractual SGTT_2019
6. proyeccion financiera y fechas entrega Sedes Territoriales
7. Cuadro de seguimiento a comisiones
8. Matriz de seguimiento operador logístico
9. Programación de comisiones octubre y monetización
10. Acta de reunión equipo administrativo nivel central 12_08_2019
11. asistencia reunión administrativa de sedes definitivas y correspondencia 09_07_2019</t>
  </si>
  <si>
    <t>Para el periodo de reporte se cuenta con una (1) sede propia en funcionamiento de las 10 con apertura transitoria, ubicada en la regional Cúcuta. Así mismo, fueron vinculados a la planta de personal de la UBPD: un (1) experto técnico grado 4 (Regional Puerto Asís), un (1) análista técnico grado 1 (Regional Puerto Asís), un (1) experto técnico grado 4 (Regional Cúcuta) y un (1) experto técnico grado 4 (Regional San José del Guaviare).
En razón de los resultados expuestos la SGTT aclara que para el tercer trimestre de 2019, se tenía prevista la apertura de las 10 sedes transitorias en instalaciones propias, así como la vinculación de las personas para la entrada en funcionamiento de estas sedes territoriales. Sin embargo, este proceso se llevará a cabo a partir del cuatro trimestre teniendo en cuenta los cronogramas de adecuación y entrega de las sedes propias suministrado por la Subdirección Administrativa y Financiera. 
Así mismo, para el cuatro trimestre se tiene previsto el proceso de vinculación del talento humano programado inicialmente y la apertura de las sedes restantes.</t>
  </si>
  <si>
    <t>35% de los equipos territoriales de la UBPD en funcionamiento</t>
  </si>
  <si>
    <t>3% de los equipos territoriales de la UBPD en funcionamiento</t>
  </si>
  <si>
    <t>La Subdirección General Técnica y Territorial ha realizado un proceso participativo para la construcción del enfoque territorial. Durante este proceso se definieron 5 lineamientos junto con los coordinadores territoriales, enlaces territoriales y la Dirección General de la UBPD, información sistematizada en el adjunto (Sistematización de la construcción del Enfoque Territorial de la UBPD).  Adicional a esto, en la carpeta denominada Insumos para sesione Meet en las carpetas 15 de julio y 14 de agosto se encuentran los aportes de los equipos territoriales fundamentales para la construcción del enfoque territorial.</t>
  </si>
  <si>
    <t>Como evidencia se adjunta:
1. Invitaciones a las sesiones de trabajo vía meet con las sedes territoriales
2. Avance en la sistematización de insumos entregados por las sedes territoriales para las sesiones de trabajo.</t>
  </si>
  <si>
    <t>En julio de 2019 se sostuvo sesión de trabajo con la Dirección general, las tres direcciones técnicas y la oficina jurídica. En esta sesión se discutieron  los criterios para la elaboración y formulación de los planes regionales de búsqueda y las instancias de revisión y ajuste de los mismos. El documento está en construcción por parte de la Subdirección de Análisis. En eso consistieron los ejercicios metodológicos programados. En cuanto al documento, este se ha avanzado en un 20%, por lo que el reporte cuantitativo es del 80%. El documento final se elaborará en el último trimestre del año.</t>
  </si>
  <si>
    <t>Presentaciones que contienen los criterios de elaboración, formulación y revisión de los planes regionales de búsqueda.
Ruta de acceso - información reservada - del proceso de avance en la implementación de los planes regionales.</t>
  </si>
  <si>
    <t>60% del documento sobre criterios de evaluación y aprobación de los planes regionales de búsqueda presentado a la Dirección General de la UBPD para su aprobación</t>
  </si>
  <si>
    <t>50% de los planes regionales de búsqueda presentados a la Subdirección, evaluados</t>
  </si>
  <si>
    <t>Los planes de búsqueda con hipótesis de localización para los municipios de Bagadó, Curumaní, Carrizal y Facatativá se encuentran formulados. Estos planes contienen una descripción de las unidades de análisis, así como una fundamentación de la hipótesis de los acaecido y el paradero de las personas dadas por desaparecidas.
La implementación es parte intrínseca de la formulación y elaboración de los planes regionales y se puede verificar en las carpetas físicas y digitales que cada líder de plan regional está construyendo. Por lo tanto, la actividad de contar con un comité que aprueba los planes no se desarrollará puesto que no es pertinente. Los planes de búsqueda se formulan por los analistas en etapa de recolección y análisis de información. Estos planes empiezan a ser ejecutados y cuando se cuenta con información que permite tener mayor certeza sobre la localización, se procede a formular el plan regional de búsqueda en etapa de localización. Estos son los planes que se envía a la Dirección General para tramitar la autorización de ingreso a lugares.</t>
  </si>
  <si>
    <t>Ruta de acceso - información reservada - del proceso de avance en la implementación de los planes regionales.</t>
  </si>
  <si>
    <t>10 matrices de caracterización de actores regionales clave para la búsqueda, diligenciadas</t>
  </si>
  <si>
    <t>17 matrices de caracterización de actores regionales clave debidamente diligenciada</t>
  </si>
  <si>
    <t>Para el periodo de reporte se diligenciaron las matrices para las 10 sedes territoriales donde hace presencia la UBPD.
La caracterización tiene como objetivo generar un mapeo de los posibles actores en región que puedan ser aliados clave para la búsqueda de personas dadas por desaparecidas, por lo tanto, a medida que la UBPD generó confianza con los actores a caracterizar propició espacios de conversación, reconocimiento y articulación que permitieran rescatar los aprendizajes de búsqueda en el territorio.</t>
  </si>
  <si>
    <t>Se adjuntan 10 matrices diligenciadas por las sedes territoriales.</t>
  </si>
  <si>
    <t>37 encuentros con entidades e instituciones que conocen el trabajo de la UBPD y con las que se inicia un contacto de relacionamiento en el territorio</t>
  </si>
  <si>
    <t>111 encuentros con entidades e instituciones que conocen el trabajo de la UBPD y con las que se inicia un contacto de relacionamiento en el territorio</t>
  </si>
  <si>
    <t>Como resultado y soporte de los encuentros pedagógicos adelantados en la región se acopiaron las respectivas actas y/o listados de asistencia.</t>
  </si>
  <si>
    <t>Se desarrollaron 111 encuentros con entidades e instituciones con el propósito de facilitar la comprensión de las funciones, características, alcances y naturaleza de la UBPD, así como su compatibilidad con otros mecanismos del SIVJRNR y demás instituciones del Estado. En este caso la meta sobrepasó lo planeado ya que los equipos territoriales de la UBPD entraron con fecha posterior al despliegue de los demás mecanismos del SIVJRNR. Sumado a lo anterior, la demanda de pedagogía en el territorio fue superior a la esperada y los equipos territoriales se vieron avocados a consolidar lazos de confianza tanto con entidades como instituciones que antes de la llegada de la UBPD se encontraban trabajando temas relacionados con desaparición.</t>
  </si>
  <si>
    <t>394 encuentros de asesoría, orientación, apoyo y fortalecimiento realizadas, de acuerdo a los lineamientos de la dirección de participación</t>
  </si>
  <si>
    <t xml:space="preserve"> - Correo solicitud de información a la Dirección de información
- Cuadro resumen de diálogos iniciales registrados en el sistema emitido por la dirección de Información.
- Relación de encuentros de asesoría, orientación, apoyo y fortalecimiento realizados por cada sede territorial.
- Listado de encuentros realizados por sede territorial.</t>
  </si>
  <si>
    <t>2 encuentros colectivos de asesoría, orientación, apoyo y fortalecimiento a familiares realizados</t>
  </si>
  <si>
    <t>A fin de consolidar los procesos de participación en la búsqueda de personas dadas por desaparecidas, reconociendo las capacidades y necesidades de las víctimas, sus organizaciones y los pueblos étnicos, se adelantaron 2 encuentros colectivos de asesoría, orientación, apoyo y fortalecimiento a familiares a cargo de los equipos Territoriales de Puerto Asis y Apartadó de conformidad con los  lineamientos dados por la Dirección de Participación.
Así mismo, se cuenta con la propuesta metodológica para la realización de los encuentros en la sede territorial Villavicencio.</t>
  </si>
  <si>
    <t>Metodologías de encuentros colectivos, con los respectivos listados de asistencia.</t>
  </si>
  <si>
    <t>Con el fin de realizar un monitoreo constante de la situación de contexto y riesgo en términos de seguridad, los equipos territoriales formularon un documento preliminar en el que pusieron en evidencia el estado durante el trimestre en cada una de sus jurisdicciones a nivel general, de conformidad con las orientaciones formuladas por el asesor de seguridad de la Dirección General. Estos son los insumos para la elaboración de los diagnósticos finales que se entregarán en el siguiente período.</t>
  </si>
  <si>
    <t>Se anexan 10 informes de contexto de las sedes territoriales de la UBPD.</t>
  </si>
  <si>
    <t>Se reporta avance en el diligenciamiento de la matriz de caracterización de potenciales fuentes de información por parte de las regionales: Villavicencio, Cúcuta, San José del Guaviare, B/bermeja, Apartadó, Sincelejo y Barranquilla.</t>
  </si>
  <si>
    <t>Se adjuntan siete (7) matrices con avances en diligenciamiento para las sedes territoriales de Villavicencio, Cúcuta, San José del Guaviare, Barrancabermeja, Apartadó, Sincelejo y Barranquilla.</t>
  </si>
  <si>
    <t xml:space="preserve">Se cuenta con un primer informe sobre el cumplimiento del protocolo de medidas de recepción y protección de información proveniente del proceso especial de recolección de información humanitaria suministrada por el equipo de documentadores FARC. Este informe contiene una síntesis de las actividades realizadas, del cumplimiento de las medidas dispuestas y de los aprendizajes que se obtuvieron en este proceso de recepción de información. 
Respecto de las actividades: 
Actividad 1: Se han diseñado dos protocolos para la protección de información. Ambos soportes han sido adjuntados en anteriores trimestres. 
Actividad 2 y 3: El Plan de monitoreo de protocolos de protección de información, así como su implementación no se han realizado  puesto que el cumplimiento de estas actividades requiere la aprobación formal de los protocolos. Sin embargo los informes que fueron inlcuidos como indicadores de resultado de esta área de efectividad dan cuenta del monitoreo que se ha hecho de los protocolos. En este trimestre se presentó el primer informe. 
Actividad 4: Durante todo el año se ha gestionado el acceso a información de instituciones y organizaciones. Especialmente, se cuenta con los soportes de solicitud de información a: Fiscalía, Hospitales, EPS, Registraduría, IGAC, entre otros. Además, se cuenta con accesos automáticos a bases de datos. Los soportes de estas acciones pueden ser verificados en el archivo de la Dirección de Ifnormación, Planeación y localización.
Actividad 5 y 6 : En el 2019 se identificó la necesidad de la Fiscalía de sistematizar la información de expedientes inactivos que no están registrados en los sistemas de información de esta entidad. Con base en esta necesidad se diseñó un proyeto. El soporte del proyecto se anexa. </t>
  </si>
  <si>
    <t>a) Guía actualizada a 12 de agosto de 2019, y b) construcción del modelo de consentimiento informado aplicado al documento de las medidas de recepción y protección de información proveniente del proceso especial de recolección de información humanitaria.</t>
  </si>
  <si>
    <t>Teniendo en cuenta que las rutas metodológicas de Bogotá, Bucaramanga, Barranquila, Cali, elaboradas por la SGTT fueron aprobadas por la Dirección General, se procedió a elaborar el cronograma de los encuentros a realizar con actores sociales que hacen parte del Plan Nacional, con el fin de obtener los insumos para la formulación del Plan Nacional de Búsqueda. En este sentido se inció con el desarrollo del primer encuentro el día 30 de septiembre de 2019 en la Ciudad de Bogotá con la participación de ONG de Derechos Humanos y Asociaciones de Familiares de Desaparición Forzada.</t>
  </si>
  <si>
    <t xml:space="preserve">a) Rutas metodológicas, cronograma de encuentros  a realizar.
b) documento base de discusión para la construcción participativa del PNB (funcionarios y participantes); y
c) listados de asistencia. </t>
  </si>
  <si>
    <t>Una vez consolidada en la base del registro unificado la información que llegó a la UBPD por las diversas fuentes tanto internas como externas de las personas dadas por desaparecidas, con corte al 30 de septiembre de 2019, se han tratado e integrado 5.122 registros de personas dadas por desaparecidas y se ha conformado una tabla de datos depurada, que contiene información sobre 4.522 personas únicas, lo cual da cuenta del 88,2% de cumplimiento de la meta.
Este registro de 5.122 corresponde a la consolidación general del año y se seguirá reportando acumulado.
Se sugiere revisar los rangos establecidos por la OAP en el mapa de calor para este indicador que superó la meta solo el 10% y  su nivel es subestimado.</t>
  </si>
  <si>
    <t>Se adjunta informe de personas dadas por desaparecidas cuya información ha sido recabada por la Unidad de Búsqueda de Personas dadas por desaparecidas.</t>
  </si>
  <si>
    <t>88% de las personas dadas por desaparecidas puestas en conocimiento de la UBPD, registradas en las herramientas de la Dirección Técnica de Información, Planeación y Localización para la Búsqueda.</t>
  </si>
  <si>
    <t>88% de información para la búsqueda recolectada, sistematizada y centralizada.</t>
  </si>
  <si>
    <t>Durante el tercer trimestre del año se han recibido en la UBPD 65.265 archivos con información relacionada con la búsqueda de personas dadas por desaparecidas. Así mismo 57.161 se encuentran registrados y descritos en el registro de fuentes de la entidad. Con lo anterior el avance del indicador es de 87,58%. 
NOTA: Se considera oportuno señalar que la matriz donde reposa dicha información está en proceso de actualización respecto de unos campos orientados a la misionalidad de la entidad, atendiendo a la construcción de procesos y procedimientos que se encuentra adelantando la UBPD. Finalizando el trimestre la matriz quedará consolidada en este nuevo formato. 
Las actividades que hacen parte del indicador se registran en matriz adjunta con su respectivo seguimiento.
Se tendrá en cuenta la retroalimentación realizada por la OAP sobre la subestimación de meta, esta información será la línea base en el diseño de próximas metas que den cuenta de la gestión de la Dirección.</t>
  </si>
  <si>
    <t xml:space="preserve">Se encuentran digitalizados y almacenados, con accesos controlados, en la máquina Workstation SGI-BOG-011 a cargo de la Subdirección de Gestión de Información para la Búsqueda y compartidos también con control de acceso, en el drive de trabajo colaborativo "Fuentes de información de la DIPLOB". </t>
  </si>
  <si>
    <t>La Dirección de Información viene estructurando los dos documentos: 1) el de metodología del establecimiento del universo y 2) el de avance sobre el establecimiento del universo, con el fin de dar cumplimiento en el ultimo trimestre a este indicador realizando la respectiva entrega.  Por otro lado, es importante señalar que el pasado 16 de septiembre se llevó a cabo una mesa de trabajo con miembros del órgano de interlocución indígena ante el SIVJRNR, con el objetivo de dar inicio a la formulación y establecimiento del censo nacional de personas dadas por desaparecidas pertenecientes a pueblos indígenas. Este relacionamiento es parte integral de la construcción de estos documentos, teniendo en cuenta que una de las grandes deficiencias  de este tipo de fenomenos es su falta enfoque diferencial. 
Las actividades se han venido desarrollando de acuerdo a lo programado en el plan de acción:
i) Elaborar propuesta de metodología a partir de sistematizaciones realizadas por otras instituciones y organizaciones:
• Se definieron los retos, los usuarios y los objetivos para obtener el universo de las personas dadas por desaparecidas.
• Se analizaron los diferentes escenarios de las instituciones nacionales e internacionales que manejan información sobre las personas dadas por desaparecidas.
• Adicionalmente, a lo largo del año la UBPD ha implementado técnicas para realizar el levantamiento de información en las diferentes áreas (gestión documental, sistema misional el cual incluye el componente geográfico), logrando implementar cruces que acercan a la UBPD al objetivo de obtener el universo de personas dadas por desaparecidas.  
ii) Revisar y ajustar metodología: 
• Dando cumplimiento a la visión de la UBPD, a lo largo del año se ha venido adquiriendo el conocimiento que le dará a la UBPD la implementación de   metodologías para la búsqueda humanitaria y extrajudicial de personas que contribuyan a la dignificación de las víctimas. Este conocimiento se ha adquirido mediante el análisis del levantamiento de información a través de las diferentes fuentes y sus respectivos cruces, esperando en un futuro poder articular la información recibida por las diferentes áreas en un solo sistema.
iii) Cruzar y depurar fuentes de información disponibles: Se ha venido trabajando durante todo el año implementando técnicas para que sea más eficiente el trabajo y tener mayor precisión de los datos. Cotidianamente se cruzan los datos del Observatorio de Memoria y COnficto, del SIRDEC y la UARIV.</t>
  </si>
  <si>
    <t>a) Documento borrador y en fase de consolidacion de la metodologia del establecimiento del universo, b) planilla de asistencia de la mesa de trabajo realizada el pasado 16 de septiembre de 2019 con el órgano interlocutor Indigena y c) presentación a la OPIAC de los avances en la construcción de una metodología para el establecimiento del Universo de Personas dadas por Desaparecidas.</t>
  </si>
  <si>
    <t>a) Documento de avance del Renafos, b) Presentación a la OPIAC de los avances en la construcción del Registro Nacional de Fosas, Cementerios Ilegales y Sepulturas; y c) Documento del procedimiento del Renafos.</t>
  </si>
  <si>
    <t>Se llevó a cabo la reunión del equipo conformado en la Dirección para la estructuración del documento el pasado 19 de septiembre, donde se presentó el avance de la conceptualización y se definieron algunos aspectos como la definición para el sistema de información del registro, lo cual quedó documentado en el informe de avance, que presenta la propuesta temática de las variables a tener en cuenta, la propuesta conceptual para el sistema y el primer modelo para la base de datos la cual estará integrada al sistema de información misional de la UBPD. Por otro lado, se realizó la primera reunión con la empresa consultora para el levantamiento del proceso del Registro Nacional de Fosas (Renafos), como resultado de esta se tiene la primera versión del documento del proceso, en el cual se definió un primer flujo de trabajo.
Las actividades se han llevado a cabo de acuerdo a lo programado en el plan de acción:
Actividad 1: se cuenta con documento de avance sobre la propuesta metodológica para la elaboración del Registro Nacional de Fosas, Cementerios ilegales y sepulturas tal como se evidencia en el soporte ya enviado en el reporte. 
Las otras dos actividades asociadas a este indicador se estan llevando a cabo según las fechas establecidas.</t>
  </si>
  <si>
    <t>3 planes con hipótesis de localización formulados</t>
  </si>
  <si>
    <t>4 planes con hipótesis de localización formulados</t>
  </si>
  <si>
    <t>Los planes de búsqueda con hipótesis de localización para los municipios de Bagadó, Curumaní, Carrizal y Facatativá se encuengran formulados. Estos planes contienen una descripción de las unidades de análisis, así como una fundamentación de la hipótesis de los acaecido y el paradero de las personas dadas por desaparecidas.</t>
  </si>
  <si>
    <r>
      <t xml:space="preserve">Pantallazo de la ruta drive donde se almacenan los planes. 
En los siguientes links se encuentran los planes regionales de busqueda:
Bagadó: </t>
    </r>
    <r>
      <rPr>
        <u/>
        <sz val="9"/>
        <color theme="1"/>
        <rFont val="Arial Narrow"/>
        <family val="2"/>
      </rPr>
      <t>https://drive.google.com/drive/u/0/folders/1FiqVBk4diagYbvjgdNtXOjOpazV0FHp</t>
    </r>
    <r>
      <rPr>
        <sz val="9"/>
        <color theme="1"/>
        <rFont val="Arial Narrow"/>
        <family val="2"/>
      </rPr>
      <t xml:space="preserve">2; 
Facatativá: </t>
    </r>
    <r>
      <rPr>
        <u/>
        <sz val="9"/>
        <color theme="1"/>
        <rFont val="Arial Narrow"/>
        <family val="2"/>
      </rPr>
      <t>https://drive.google.com/drive/u/0/folders/1ZazQxKaYHf09VgKtlM_FsY--P3t_o-v5</t>
    </r>
    <r>
      <rPr>
        <sz val="9"/>
        <color theme="1"/>
        <rFont val="Arial Narrow"/>
        <family val="2"/>
      </rPr>
      <t xml:space="preserve">;
Carrizal: </t>
    </r>
    <r>
      <rPr>
        <u/>
        <sz val="9"/>
        <color theme="1"/>
        <rFont val="Arial Narrow"/>
        <family val="2"/>
      </rPr>
      <t>https://drive.google.com/drive/u/0/folders/1PKaxaT03BdcHpo28vgGyHKCREl7_l9vZ</t>
    </r>
  </si>
  <si>
    <t>Seguimiento, evaluación y control a la gestión</t>
  </si>
  <si>
    <t>1. Comunicación y pedagogía
* Conversatorio sobre sensibilización y pedagogía: agenda y listados de asistencia. Las memorias del evento y una síntesis de ideas prácticas susceptibles de implementar en acciones de sensibilización será entregado en el informe del cuarto trimestre.
* Investigación sobre niñez y pedagogía: documento; apoyo en la estructuración y diseño del taller para niños de la UBPD; fotografías.
* Aporte metodológico de construcción de saberes: documento comentado y propuesta apoyo OGC e informes preliminares de Sincelejo, Puerto Asís, San José de Apartado y Villavicencio.
* Conversatorio con los autores del libro: Cartografía de la Desaparición Forzada en Colombia: listado de asistencia.
2. Insumos política de cuidado
* Comunicación para la paz: productos finalizados con sus anexos y el listado de asistencia de la reunión con su correspondiente acta.
* Estrategia de cuidado: documento con las comunicaciones que evidencian el soporte de la OGC.
3. Centro de documentación: listado de libros y material y el reporte de préstamo.
* Insumo de retroalimentación sobre la realización de estudios de confiabilidad: comunicación de envío. El documento, por ahora, está reservado.
4. Glosario básico: correo donde se remite el glosario a la Directora General y el documento de preguntas y respuestas frecuentes.
5. Intercambio de saberes al interior de la UBPD: se adjuntan listados de asistencias e invitaciones de las cuatro sesiones.
6. Intercambios en ejecución
* Con la FAFG:
• Cuatro talleres con sociedad civil: listados de asistencia a todos los talleres y las agendas llevadas a cabo.
• Dos mesas técnicas con equipos misionales: listados de asistencia y propuestas de metodología, memoria final (julio) y borrador (agosto). 
• Visita de la UBPD a Guatemala: actas de reuniones y listados de asistencia.
* Con la Fundación Centro Carter y Elementa: actas de reuniones, listados de asistencia y documentos parciales sobre estructura de reporte y diseño de taller.
* ICMP: actas de reuniones y listados de asistencia, documentos con las propuestas de temario y pedagogica, cadena de valor misional y la ficha de indicadores de gestión.
7. Diseño y construcción de contenidos de capacitación: parrilla, fichas de los cursos y de las capacitaciones territoriales.
8. Dialogos circulares: listados de asistencia. Una memoria de cada encuentro será anexada en el informe del cuarto trimestre.</t>
  </si>
  <si>
    <t>1. Comunicación y pedagogía:
* Conversatorio de sensibilización y pedagogía para personas de la UBPD, sobre búsqueda de personas reclutadas en el marco y razón del conflicto armado, dadas por desaparecidas. Se contó con la participación de invitadas/os de la Coalición contra la Vinculación de Niños y Niñas al Conflicto Armado, una joven reclutada actualmente en proceso de reintegración y Fernando González, experto pedagogo, artista, defensor de DDHH y maestro universitario. Los objetivos de la jornada fueron: 1) Conocer las estrategias de organismos no gubernamentales para sensibilizar a la sociedad sobre la problemática del reclutamiento de NNA; 2) Intercambiar sobre posibles estrategias y retos de la sensibilización y pedagogía orientadas a la búsqueda de personas reclutadas dadas por desaparecidas, en el contexto colombiano.
* Investigación sobre niñez y pedagogía: Se elaboró un documento para recoger la información analizada sobre las prácticas pedagógicas y didácticas utilizadas para la socialización de violaciones a los DDHH con NNA en contextos de violencia. Busca contribuir a la formulación de estrategias pedagógicas por parte de la OACP, atendiendo al numeral 4 del artículo 6 “Funciones de la Oficina de Gestión del Conocimiento”, del Decreto 1393 de 2018.
Adicionalmente, se dio el apoyo en la estructuración y diseño del taller para niños de la UBPD.
* Aporte metodológico a la OACP para la construcción de saberes: apoyo en el diseño de la fase II de círculo de saberes. Acompañamiento a las reuniones con la comunidad en Puerto Asís, Sincelejo, Montería, Apartadó, San José de Apartadó y Villavicencio.
* Conversatorio con los autores del libro “Cartografía de la Desaparición Forzada en Colombia. Relato (siempre) incompleto de lo invisibilizado”. El 6 de septiembre se realizó el conversatorio con los autores del libro, con asistencia de 45 personas y 33 conectadas vía Meet. 
2. Insumos política de cuidado:
* Comunicación para la paz: están finalizados todos los módulos del manual. En el periodo que se reporta, se culminó el módulo 3 (producto 5) y el informe final (producto 6) que contiene detalles sobre la participación de los equipos directivos y el de expertos/apoyo, y los avances y desafíos para la UBPD en términos de apropiar esta metodología para el relacionamiento de los servidore/as y la resolución de diferencias y conflictos, como un elemento distintivo del carácter humanitario de la entidad en su ámbito interno. 
En el marco de apropiación y divulgación del conocimiento se acompañó el taller inductivo de Comunicación para la Paz con el equipo de Prospección, Recuperación e Identificación a solicitud de personas que participaron en el entrenamiento realizado por las consultoras; allí se realizaron ejercicios para ilustrar la metodología y se explicaron los conceptos básicos. Posteriormente, se hizo una reunión de evaluación con el mismo equipo.
* Estrategias de cuidado y autocuidado: Se comentaron 10 microrrelatos que contienen tramos de la historia de vida de personas que hacen parte de los equipos misionales y Oficinas Asesoras de la UBPD, cuyo propósito es concientizar al conjunto de servidores/as sobre la necesidad de adoptar y sostener prácticas de autocuidado para balancear la vida personal y la profesional-laboral. 
* Se apoyó en la estructuración de contenidos del curso virtual en lo referente al cuidado riesgos y prevención. Se apoyó el contenido estructural de la APP para la estrategia de cuidado. * Se discutió con la SGH y el consultor la estrategia de apropiación del conocimiento. Se comentó el documento.
* Política de seguridad: Insumo de retroalimentación sobre la realización de estudios de confiabilidad: derivado de la participación de la OGC, Gestión Humana y Federico Andreu en los estudios de confiabilidad del personal ingresado entre abril y mayo de 2019, principalmente a integrar los equipos territoriales, y como preparación para el proceso de contratación del personal que los fortalecerá y se llevará a cabo hasta noviembre de 2019, la OGC presentó un documento que sintetiza sus principales observaciones. Y a través del cual se hacen recomendaciones de índole metodológico y procedimental .
3. Centro de documentación: En el tercer trimestre se recibieron 41 registros físicos y se sistematizaron 48 piezas audiovisuales para un total de 260 registros físicos que conforman el Centro Documental hasta el 30/09/19. Se realizaron cuatro préstamos y se recibieron tres devoluciones de material prestado. Se dio inicio a la elaboración de las fichas descriptivas del material disponible para consulta.
4. Glosario básico en validación. Con el enfoque de tener claridad sobre conceptos básicos de la UBPD, se recibió una solicitud de apoyo para las preguntas y respuestas que deben estar en la página web. En coordinación con la OAJ, se apoyó a la SAF en la elaboración del documento “preguntas y respuestas frecuentes”, para lo cual se tuvo como insumo el glosario básico para validación, en el que se avanzó en una versión final para revisión de la Dirección General, como se reportó en el período anterior. 
5. Intercambio de saberes al interior de la UBPD. Desde agosto de 2019 la OGC ha propiciado espacios periódicos de intercambio de experiencias, bajo el nombre de "ESCUCHÉMONOS. Tu historia contribuye a la búsqueda", espacios que buscan desarrollar conversaciones entre expertos de la UBPD que cuentan sus experiencias relacionadas con la búsqueda y los demás servidores. Se han realizado cuatro encuentros: i. Los Caninos en la Búsqueda. Fergie una perrita que busca desaparecidos, por Karen Quintero (01/08); ii. Saberes Ancestrales y Recuperación en Bojayá, por Rosa Agudelo y Javier Ayala (22/08); iii. Análisis espacial y modelamiento predictivo, por Ana Carolina Guatame (12/09) y iv. La ausencia de evidencia no es evidencia de ausencia: la importancia de interpretar lo que nos cuentan los cadáveres, por César Sanabria (26/09).
6. Intercambios en ejecución:
a. Con la Fundación de Antropología Forense (FAFG), con el desarrollo de cuatro talleres con la sociedad civil, y dos mesas técnicas con personal de los tres equipos misionales.
• Talleres con sociedad civil: La OGC hizo seguimiento y participó, junto a integrantes de equipos territoriales, en los talleres que la FAFG hizo en Cali, Barrancabermeja, Medellín y Villavicencio. La mayor parte de la sociedad civil participante pertenece a organizaciones conformadas por familiares de víctimas de desaparición forzada, pero también familiares independientes y excombatientes de las FARC-EP. El propósito de los talleres era socializar la experiencia de búsqueda de personas desaparecidas en Guatemala, haciendo uso de las ciencias forenses. Con el apoyo de la UBPD se da divulgación a cómo hace la búsqueda la Unidad y se afianza el relacionamiento con las organizaciones en el territorio.
• Mesas técnicas con equipos misionales: en las mesas técnicas de julio y agosto delegaciones de los equipos misionales recibieron capacitación en temas de identificación genética y forense, se discutieron casos y presentaron a la FAFG la metodología de fortalecimiento a familias y personas que buscan. 
• Visita de la UBPD a Guatemala: Se apoyó la coordinación de una visita de 6 personas delegadas de la UBPD, en compañía de personas de la FGN y del INMLCF a Guatemala con el propósito de conocer el enfoque multidisciplinario de la FAFG para la búsqueda de personas desaparecidas, y profundizar en el proceso de identificación, las metodologías de comunicación con familiares para la recolección de información, la búsqueda, y la investigación desde una perspectiva de antropología, arqueología y genética forense. Se buscaron escenarios de articulación con estas entidades. La coordinación incluyó la definición temática, la elaboración de formatos para el registro de la visita y reuniones de coordinación interna y externa. 
b. Fundación Centro Carter y su asociada en Colombia, Elementa. Se trabajó en la elaboración temática de la investigación, se definieron los países en los que se iba a trabajar y un plan de trabajo. Se sostuvo dos reuniones en las que se comentaron los detalles de la base de datos en la que está registrada la bibliografía y fuentes identificadas para el informe investigativo, así como la estructura del informe y del taller de presentación. Adicionalmente, la UBPD ha facilitado contactos internos y externos a Elementa para la ampliación de su base informativa en el caso peruano. 
c. ICMP: Se trabajó con los equipos misionales en la definición de la propuesta de formación y capacitación con ICMP; se sostuvo dos reuniones a) de estudio de la segunda propuesta de ICMP y de definición de una contrapropuesta, y b) para estudiar y responder la respuesta de ICMP a la contrapropuesta. En el segundo tema se trabajó con el equipo designado por la Dirección General con asistencia de la Directora en la definición de la temática sobre repositorios y lugares de disposición de cuerpos. Se dio respuesta a las observaciones de ICMP y se llegó a un acuerdo definitivo en este tema.
7. Diseño y construcción de contenidos de capacitación. Durante el tercer trimestre la Oficina de Gestión del Conocimiento realizó la estructuración de la parrilla de capacitaciones del nivel central y territorial, a partir de las necesidades misionales de la UBPD y de directrices de la Dirección general en cuanto a líneas de enfoque, la cual se desarrollará durante el último trimestre del 2019, se socializo su contenido con cada una de las áreas y equipos de trabajo de la UBPD. Se revisaron las fichas con los contenidos propuestos por cada uno de los cursos y se realizaron reuniones de coordinación con el IEPRI- UNAL.
Es importante tener en cuenta que la OGC trabaja los contenidos, pero no es responsable de realizar, sino solo apoyar, las inducciones. Estos procesos no se hacen todos los meses sino en determinadas fechas; aunque estaba programado para septiembre, por temas de contratación no se realizó en el período. Entre tanto, la Subdirección de Gestión Humana hizo inducciones cortas a las personas que ingresaron .
8. Diálogos circulares:
* Con todo el equipo de la Secretaría General, Subdirección Administrativa y Financiera, y Subdirección de Gestión Humana: a petición de la Directora General, la OGC -con el apoyo de un contratista que contribuye al diseño metodológico y preparación de las jornadas de inducción y algunos temas de capacitación- diseñó la metodología, dispuso las condiciones materiales y contribuyó a facilitar este espacio de conversación.
* Entre la Directora General con el equipo de Prospección, Recuperación e Identificación: a petición de la Directora General, la OGC facilitó la metodología y condiciones materiales para que este diálogo tuviera lugar.</t>
  </si>
  <si>
    <t>56% de las metas del plan de acción cumplidas</t>
  </si>
  <si>
    <t>80% del documento sobre criterios de evaluación y aprobación de los planes regionales de búsqueda presentado a la Dirección General de la UBPD para su aprobación</t>
  </si>
  <si>
    <r>
      <t xml:space="preserve">Inicialmente, para el año 2019 existian 71 indicadores registrados en el Plan de Acción 2019, sin embargo, mediante comité de gestión 009 del 09 de octubre de 2019, se ajustaron a 70 con el proposito de suprimir e crear indicadores que permitieran la toma de decisiones. De estos 70 indicadores, en el tercer trimestre de 2019 existen 57 indicadores con metas programadas mayores a cero, generando entonces una meta de este indicador para el segundo trimestre de </t>
    </r>
    <r>
      <rPr>
        <b/>
        <sz val="9"/>
        <rFont val="Arial Narrow"/>
        <family val="2"/>
      </rPr>
      <t>81,4%</t>
    </r>
    <r>
      <rPr>
        <sz val="9"/>
        <rFont val="Arial Narrow"/>
        <family val="2"/>
      </rPr>
      <t xml:space="preserve">. Durante el trimestre se dio cumplimiento con nivel «óptimo», «adecuado» y «subestimado» a 39 de ellos. Por lo anterior, se genera el cálculo de este indicador tomando los 39 indicadores sobre los 70 inscritos en el Plan de Acción 2019 con un resultado del </t>
    </r>
    <r>
      <rPr>
        <b/>
        <sz val="9"/>
        <rFont val="Arial Narrow"/>
        <family val="2"/>
      </rPr>
      <t>55,7%</t>
    </r>
    <r>
      <rPr>
        <sz val="9"/>
        <rFont val="Arial Narrow"/>
        <family val="2"/>
      </rPr>
      <t xml:space="preserve">. Por lo anterior, se calcula el avance cuantitativo así: =((57/70)/(39/70))= (55,7%)/(81,4%)= </t>
    </r>
    <r>
      <rPr>
        <b/>
        <sz val="9"/>
        <rFont val="Arial Narrow"/>
        <family val="2"/>
      </rPr>
      <t>68,4%</t>
    </r>
    <r>
      <rPr>
        <sz val="9"/>
        <rFont val="Arial Narrow"/>
        <family val="2"/>
      </rPr>
      <t>, dejando el indicador en nivel de riesgo de cumplimiento
Existen 22 indicadores con lectura por fuera de cumplimiento, (12) en nivel crítico y (10) en nivel riesgo</t>
    </r>
  </si>
  <si>
    <t>1. Matriz de seguimiento al Plan de Acción 2019 con fecha corte 30 de septiembre de 2019
2. Informe de seguimiento del plan de acción tercer trimestre 2019</t>
  </si>
  <si>
    <t>No aplica, ya que el indicador se cumplió en el segundo trimestre del año.</t>
  </si>
  <si>
    <t>1. Acta de entrega de la oficina para la sede territorial de Cúcuta.
2. Los soportes de los nombramientos de personal reposan en la Subdirección de Gestión Humana.</t>
  </si>
  <si>
    <t>Durante el tercer trimestre de 2019 (julio - septiembre), la DTPCVED continuó con su estrategia de relacionamiento con 21 nuevas organizaciones, colectivos, movimientos y plataformas de la sociedad civil, acompañantes y de familiares. Este relacionamiento se desarrolló en el marco de reuniones, eventos, diálogos iniciales colectivos y actividades conjuntas con otras direcciones misionales u oficinas de la UBPD. Asistieron 138 personas a un total de diez actividades.
Las 21 OCMP nuevas son: Comité por los Derechos de las Víctimas de Bojayá, Asociación Madres de la Candelaria, Corsuflag, Ave Fénix, Orvida, Organización Proyecto DES, CCAJAR, EQUITAS, Asociación de Familiares Desaparecidos del Pacífico (AFADPAC), Secretaria del Despacho Parroquial de la Santísima Trinidad, Colectivo Ceiba de la Memoria, Familiares Palacio de Justicia, Unión de Mujeres, Corporación Vida Paz, Tierra Querida, Colectivo de Mujeres, Grupo Europa Familiares de Desaparecidos en Colombia, Revicpaz LAC Chile (ACORCH), Migrantes y Exiliados Colombianos por la Paz (MECOPA), Brigadas internacionales de Paz y Asociación de Familiares Víctimas de Desaparición Forzada de Caquetá (FAVIDES).
Con estas 21 OCMP nuevas se realizaron: a) 4 reuniones con la asistencia de 37 personas (tres en julio, 23 personas; una en agosto, 7 personas; una en septiembre, 7 personas); b) un diálogo inicial colectivo en septiembre, 2 personas; c) 2 eventos en septiembre, 57 personas; d) 3 actividades conjuntas con otras direcciones de la UBPD, 42 personas (2 en julio y 1 en septiembre).
Además, del nuevo relacionamiento mencionado, entre julio y septiembre la DTPCVED también continuó su relacionamiento con: Familiares Colombia por el Apoyo Mutuo, Fondo de Solidaridad con los Jueces Colombianos (FASOL), Fundación Visión Desarrollo Social (FUNVIDES), Luz de Esperanza, Colectivo Orlando Fals Borda (COFB), Movimiento Nacional de Víctimas de Crímenes de Estado (MOVICE), Corporación Regional Para La Defensa De Los Derechos Humanos (CREDHOS) y la Fundación Nydia Erika Bautista. A las actividades realizadas asistieron 111 personas.</t>
  </si>
  <si>
    <t>1 informe generado en virtud del cumplimiento de protocolos de acceso y protección de información</t>
  </si>
  <si>
    <t>Frente al proceso de diseño de lineamientos de reencuentros y entregas dignas con enfoques diferenciales, género y psicosocial se ha avanzado en la estructuración de un documento preliminar y un plan de trabajo para la construcción de los lineamientos. El documento preliminar presenta el reto de enmarcar las entregas dignas desde el carácter humanitario y extrajudicial. Esto teniendo en cuenta el objeto de la UBPD, dado que de acuerdo a las diferentes solicitudes búsqueda, la entidad realizará acciones de Coordinación, Dirección o Contribución de acciones humanitarias para la búsqueda de personas dadas por desaparecidas; lo anterior basándose en los desarrollos conceptuales y metodológicos que la Dirección de Participación ha realizado en materia de los principios para participar en un escenario de Entrega Digna o Reencuentro, con la incorporación de los enfoques diferenciales y de género.
Por último, se logró la articulación interinstitucional con la Fiscalía y Unidad para la Atención y Reparación Integral a las Víctimas [UARIV] para una entrega Digna por solicitud de los familiares. Así mismo, se realizó otro proceso de Entrega Digna en la ciudad de Villavicencio. Las Entregas Dignas realizadas corresponden al Sr. Heli Ballesteros y al Sr. William Ricardo Barón, de las cuales, se adjunta como soporte las actas de estos procesos. Es importante aclarar, que existe un reporte detallado de las entregas dignas realizadas los cuales son de caracter confidencial y se encuentran en la Dirección de Participación, en el computador de Liz Arévalo, Soportes Plan de Acción III Trimestre.</t>
  </si>
  <si>
    <t>Logros y Dificultades de 2019</t>
  </si>
  <si>
    <t>Meta
IV trimestre de 2019</t>
  </si>
  <si>
    <t>Avance cuantitativo
IV trimestre de 2019</t>
  </si>
  <si>
    <t>% Avance - IV trimestre de 2019</t>
  </si>
  <si>
    <t>Avance cualitativo
Cuarto trimestre de 2019</t>
  </si>
  <si>
    <t>Soportes del avance
Cuarto trimestre de 2019</t>
  </si>
  <si>
    <t>Los proyectos de la CI contibuyeron al fortalecimiento de la UBPD para el desarrollo de sus politicas, lineamientos, enfoques, procesos y estrategias los cuales facilitan el desarrollo de su misionalidad y mandato. La mayor dificultad fue la coordinación permanente con los cooperantes y aliados para que los proyectos respondieran a las prioridades y necesidades de la UBPD.</t>
  </si>
  <si>
    <t>Se suscribieron tres (3) convenios cooperación técnica para fortalecer a la UBPD en temas estratégicos. La principal dificultad se presenta con el procedimiento de revisión jurídica por parte de los cooperantes, que no cuentan con un tiempo límite establecido, trámite que en el caso de los acuerdos con OIM y la AECID, quedaron anunciados se continuarían adelantando en 2020.</t>
  </si>
  <si>
    <t>1. Informe consolidado de ejecución financiera de proyectos implementados 
2. Informe narrativo de seguimiento fichas OIM / USAID
3. Informe narrativo de seguimiento ficha Chemonics  / USAID</t>
  </si>
  <si>
    <t xml:space="preserve">HITO 1: Estado del arte sobre la desaparición de personas en contextos de conflictos armados y violencia sociopolítica: Se anexan 21 fichas y el documento del Estado del arte sobre la desaparición de personas en contextos de conflictos armados y violencia sociopolítica
HITO 2: Dinámicas y lógicas de las violaciones a los derechos humanos asociadas a la desaparición de personas en el contexto y en razón del conflicto armado en Colombia: Documento de dinámicas y lógicas de las violaciones a los derechos humanos asociadas a la desaparición de personas en el contexto y en razón del conflicto armado en Colombia
HITO 3: Metodologías de los procesos de búsqueda de las personas desaparecidas en contextos de violencia sociopolítica a nivel internacional: Documento de metodologías de los procesos de búsqueda de las personas desaparecidas en contextos de violencia sociopolítica a nivel internacional
HITO 4: Formulación de proyecto análisis de los impactos de los procesos de búsqueda. Se anexa documento con la formulación de proyecto análisis de los impactos de los procesos de búsqueda
HITO 5: Apoyos puntuales: Documento con la propuesta de apoyo en la caracterización de los ejercicios de diálogos, acciones de asesoría, orientación y fortalecimiento de familias y personas allegadas, por parte del equipo de Participación. Tres documentos sobre los aportes de la búsqueda de personas dadas por desaparecidas en el contexto y en razón del conflicto armado a la construcción de paz en colombia. </t>
  </si>
  <si>
    <t>55% de ejecución del plan de estudios e investigaciones</t>
  </si>
  <si>
    <t>Documento con la estrategia de gestión del conocimiento: Durante el cuarto trimestre de 2019 la OGC a partir de la caracterización del conocimiento al interior de la Unidad de Búsqueda diseñó una Estrategia de Gestión del Conocimiento como un conjunto de acciones planificadas para superar las barreras de Gestión del Conocimiento identificadas durante el primer año de gestión de la UBPD</t>
  </si>
  <si>
    <t>Se adjunta el documento con la Estrategia y sus respectivos soportes.</t>
  </si>
  <si>
    <t>36,5% de las herramientas para la creación, el flujo, la apropiación y el uso del conocimiento en la UBPD, implementado</t>
  </si>
  <si>
    <t>Logros: pese a los recursos limitados se logró el avance satisfactorio de las herramientas propuestas e identificadas a partir de las necesidades de conocimiento y de gestión del conocimiento de la UBPD
Limitaciones: escases de tiempo y recursos humano para socializar y divulgar algunos resultados.</t>
  </si>
  <si>
    <t>Se genera informe de uso desde la consola de administración de la plataforma de herramientas colaborativas g-suite para los usuarios activos para el cuarto trimestre, la cual se analiza de acuerdo con el uso en almacenamiento de los usuarios en el Drive, así como con la creación o edición de documentos Google y hojas de cálculo. Se puede evidenciar que el indicador se bajó un 5,14% respecto al reporte anterior, esto se debe al ingreso de personal en las sedes territoriales y a que la capacitación de la herramienta se dio hasta el mes de diciembre. Sin embargo, el indicador continúa estimado con una buena acogida por parte de los colaboradores de la entidad.</t>
  </si>
  <si>
    <t>El 76,35% de los servidores públicos hacen uso de las herramientas colaborativas</t>
  </si>
  <si>
    <t>Se continua con el aseguramiento de la plataforma Gsuite incluida la herramienta Vault, donde se han realizado configuraciones propias de la herramienta a fin de mitigar posibles riesgos de seguridad, como se evidencia en cronograma en la línea 3 "Actividades de aseguramiento de la plataforma “y acta de cierre del proyecto en el apartado Logs y reportes de la consola administración. 
Para el servidor de la mesa de servicio que actualmente soporta la herramienta Aranda se realizaron tareas de hardening donde se cerraron puertos no utilizados por servicios del servidor, así como la eliminación de usuarios no utilizados y se establecieron permisos de usuario en el motor de base de datos en el servidor a fin de mitigar posibles riesgos de seguridad. Lo anterior se puede evidenciar el archivo Línea base Servidor Aranda, y cual seguirá siendo insumo para las fases posteriores al aseguramiento de los activos de información de la entidad.
El activo de recurso humano se aseguró desde el pasado mes de julio donde se firmó, por parte de todos los colaboradores el compromiso de confidencialidad.</t>
  </si>
  <si>
    <t xml:space="preserve"> -Cronograma Aseguramiento Gsuite.pdf (Correo Electrónico).
https://drive.google.com/open?id=13KJyqDCPbqA_6nYR7jacaYyg9ySDS9gl
Linea base Servidor Aranda.pdf
https://drive.google.com/open?id=1A279YEeQ-DL8_SYzrTCbmys7TF_gMHsK
- Compromiso de confidencialidad 
https://drive.google.com/open?id=1uiaknf1qm1iHnw3Uv07Eb1e973LMe0vK</t>
  </si>
  <si>
    <t>100% de los servicios de TI disponibles</t>
  </si>
  <si>
    <t>3 Procedimientos de TI apoyados con buenas prácticas</t>
  </si>
  <si>
    <t>1 Procedimientos de TI apoyados con buenas prácticas</t>
  </si>
  <si>
    <t>Se presentaron demoras en los ciclos de generación y revisión de los procedimientos caracterizados  debidos a baja disponibilidad de algunos de los servidores públicos de la OTIC para la realización de las sesiones de trabajo.</t>
  </si>
  <si>
    <t>1 Fases del plan de implementación TI ejecutadas</t>
  </si>
  <si>
    <t>1 Fases del plan de implementación de TI ejecutadas</t>
  </si>
  <si>
    <t>Las evidencias relacionadas con el avance cualitativo reportadas anteriormente, están en el siguiente link: 
https://drive.google.com/drive/folders/1Y-aBhQCQ367rNVI0E7JR0OK2gtAuXMHv</t>
  </si>
  <si>
    <t>Logros 1- Se Logra cumplir con el indicador antes de lo previsto, la Herramienta de apoyo a la gestión de información es identificada y probada en el segundo trimestre de la vigencia 2019.</t>
  </si>
  <si>
    <t>27 acciones de pedagogía y comunicación estratégica externa</t>
  </si>
  <si>
    <t>49 acciones de pedagogía y comunicación estratégica externa</t>
  </si>
  <si>
    <t xml:space="preserve">* Se avanzó en la actualización de las carteleras internas. 
* Se avanzó en la socialización de información a los servidores y contratistas de la UBPD a través del correo electrónico de Comunicaciones. 
* Ya se cuenta con la maqueta y el montaje de la Intranet, lista para iniciar hacer la inserción de contenidos. </t>
  </si>
  <si>
    <t>* Carteleras internas
* Maqueta Intranet 
* Correo institucional</t>
  </si>
  <si>
    <t>6% del sistema de gestión diseñado e implementado en el 2019</t>
  </si>
  <si>
    <t>11% del sistema de gestión diseñado e implementado en el 2019</t>
  </si>
  <si>
    <t>1. https://www.ubpdbusquedadesaparecidos.co/acerca-de-la-busqueda/#sec-trans
2. \\Bog-opl-04\archivo digital\SGC\P. ESTRATÉGICOS\Direccionamiento y planeación\Políticas
3. \\Bog-opl-04\archivo digital\SGC
4. - C:\0. SPF\MECI\2019\Plan de acción\Por componentes -Plan MECI actividades de control y gestión de riesgos 17-12-2019 presentación comité
5. C:\0. SPF\MECI\2019\Plan de acción - Presentación Plan de Acción MECI por Componentes 12-09-2019
6. \\Bog-opl-04\archivo digital\Consultoría de procesos\Presentaciones - 3. Socialización Sistema de Gestión (1) UBPD 05-12-2019</t>
  </si>
  <si>
    <t>En el marco del Sistema de Gestión de la UBPD se alcanzaron los siguientes logros de acuerdo con los siguientes componentes: 
3.1. Diseño del mapa de procesos y ruta del proceso de búsqueda
Se realizó el diseño del mapa de procesos de la UBPD, el cual fue construido teniendo en cuenta los mandatos conferidos por la normatividad vigente, dando respuesta a los retos y exigencias planteados en el comunicado de la Habana # 062 del 17 de octubre de 2015, el Acto Legislativo 01 del 4 de abril de 2017, el Decreto Ley 589 de 2017, la Sentencia C-067-18 y la Sentencia 080-18. así mismo, se identificó la ruta del proceso de búsqueda de la UBPD teniendo en cuenta el objeto y las acciones frente a los tres verbos rectores “Dirigir, coordinar, y contribuir a la implementación de las acciones humanitarias de búsqueda y localización de personas dadas por desaparecidas en el contexto y en razón del conflicto armado…”
3.2. Diseño de los procesos y demás documentación para la operación de la Entidad.
En el marco de la contrato No PSPJ-2738 de 2019 VISP-0229 entre la Organización Internacional para las Migraciones - OIM y la Fundación de Estudios para el Desarrollo de la Participación y la Integración Política y Social en Colombia, el cual tuvo por objeto “levantar, diseñar y documentar los procesos o subprocesos y procedimientos misionales, estratégicos, de apoyo y evaluación de conformidad con los requisitos establecidos en las normas técnicas de calidad y en articulación con las políticas de gestión y desempeño institucionales, incorporando mejores prácticas, metodologías de mejoramiento continuo y el enfoque territorial, diferencial, de género y étnico”, se alcanzaron los siguientes logros: 
1. Diseño de 425 documentos tales como la caracterización del proceso, procedimientos, políticas, estrategias, planes, formatos, plantillas, manuales, guías, instructivos y demás documentos necesarios para la UBPD con su correspondiente codificación, los cuales pueden ser consultar en el Listado Maestro de Documentos. Para la articulación de los procesos misionales se están desarrollando mesas de trabajo con los líderes de proceso, directores técnicos y con la subdirectora general técnica y territorial para la presentación posterior a la Directora General.
2. Publicación en la carpeta compartida de los documentos de los procesos estratégicos, apoyo y evaluación aprobados por los líderes de los procesos y socialización a los líderes de proceso y procedimiento los documentos del Sistema de Gestión diseñados o actualizados. 
3. Ajuste del logo institucional en los documentos que hacen parte del Sistema de Gestión de la UBPD, acorde a los lineamientos dados por la Oficina Asesora de Comunicaciones y Pedagogía.
En este sentido, se desarrollaron reuniones de trabajo para diseñar y construir la ruta del proceso de búsqueda, la cual permitió identificar los tipos de procesos necesarios para la operación de la Entidad (estratégicos, misionales, apoyo y evaluación). Para cada tipo de proceso identificado, se establecieron los proveedores, las entradas del proceso, las actividades principales, los productos o servicios y los beneficiarios de la gestión de estos procesos. 
Como parte del fortalecimiento a las acciones de socialización del Modelo de Operación por Procesos, se realizó una sensibilización de los puntos relevantes de un modelo, definiciones básicas, la pirámide documental, las acciones a desarrollar para la elaboración, actualización y modificación de los documentos y el acceso a la información oficial del Sistema de Gestión de la UBPD.
3.3. Desarrollo del Comité de Gestión de la UBPD.
Mediante la resolución 079 del 04 de marzo de 2019 se creó el comité de gestión de la UBPD. Durante el desarrollo del Comité se realizaron once (11) sesiones, en las cuales, se avanzó en la construcción y análisis de las políticas de gestión de la Entidad, entre otros temas fundamentales para la gestión de la UBPD. Producto de las sesiones se aprobaron los siguientes temas:
- Plan de acción 2019 de la UBPD
- Plan anticorrupción y atención al ciudadano
- Mapa de riesgos de corrupción
- Plan de capacitación de la UBPD.
- Seguimiento a la ejecución presupuestal.
- Política de seguridad y salud en el trabajo – SGSST
- Política de servicio al ciudadano
- Política de transparencia, acceso a la información pública y lucha contra la corrupción en la UBPD
- Política ambiental de la UBPD
- Plan estratégico de talento humano
- Plan de bienestar y estímulos de la UBPD
Así mismo, se realizaron sesiones para abordar los siguientes temas, los cuales, debido a su complejidad, representan serán necesarios continuar revisando en la vigencia 2020:
- Política de tratamiento de datos personales de la UBPD
- Política de gestión documental en la UBPD
- Plan institucional de gestión documental de la UBPD
- Programa de gestión documental de la UBPD
- Diseño de la carta de valores de la UBPD
Así mismo, se desarrolló la propuesta de la filosofía del Sistema de Gestión de la UBPD, documento que permitirá guiar el diseño o actualización de los documentos que se revisen con posterioridad en la Entidad y que sean presentados al Comité de Gestión de la UBPD, en este, se establece la plataforma estratégica de la Entidad, los principios, los ejes transversales de la UBPD y la conformación del Sistema de Gestión con sus sistemas y políticas.
Con relación a la política de control interno, la Oficina Asesora de Planeación generó los lineamientos generales para la elaboración del plan de acción del Modelo Estándar de Control Interno - MECI de la UBPD, así mismo, lideró su construcción en el componente de evaluación del riesgo y en el componente de actividad de control. El plan de acción MECI fue presentado y aprobado en las sesiones del Comité Institucional de Coordinación de Control Interno 006 y 007 del 06 de noviembre de 2019 y 18 de diciembre de 2019, respectivamente.
El Sistema de Control Interno se acompaña por un esquema de asignación de responsabilidades, adaptado del modelo “líneas de defensa”, que otorga responsabilidad a todos los niveles de la entidad, de la siguiente manera:
- Línea estratégica: Alta Dirección y Comité Institucional de Coordinación de Control Interno.
- Primera línea de defensa: Líderes de procesos o líderes operativos de programas y proyectos de la entidad.
- Segunda línea de defensa: jefes de planeación o quienes haga sus veces, coordinadores de equipos de trabajo, supervisores e interventores de contratos o proyectos, comité de riesgos, comité de contratación, áreas financieras, área de TICs.
- Tercera línea de defensa: Oficina de Control Interno, auditoría interna o quien haga sus veces.
3.4. Diseño de los mapas de riesgos por proceso. 
Se diseñó la Política de Administración del Riesgos de la UBPD, aprobada durante la sesión 6 del Comité Institucional de Coordinación de Control Interno realizada el pasado 06 de noviembre de 2019 y presentada a la Dirección General para la revisión final.
Así mismo, se desarrolló la construcción de los mapas de riesgos por procesos de la UBPD con los líderes de los procesos, servidores públicos y contratistas de la Entidad. En cuanto al mapa de riesgos de corrupción, durante el mes de enero de 2019 se formuló de acuerdo con los lineamientos establecidos en la “Guía para la Administración del Riesgos y el Diseño de Controles en las Entidades Públicas”, considerando en todo caso, la participación ciudadana mediante una publicación previa en la página web de la UBPD, finalmente, fue publicada la versión final en la página web de la UBPD junto con los monitoreos cuatrimestrales efectuados por la Oficina Asesora de Planeación y los seguimientos realizados con la misma periodicidad por la Oficina de Control Interno.
Con relación al indicador No. 016 “sistema de gestión diseñado e implementado”, el cual tenía como meta el 50% de diseño e implementación del sistema de gestión para el 2019, finaliza con una ejecución acumulada del 99,8 % con un nivel de cumplimiento “adecuado”.</t>
  </si>
  <si>
    <t>Se cargaron los soportes correspondientes al seguimiento de los proyectos de inversión en el Sistema de seguimiento a los proyectos de inversión - SPI. 
Se realizarón las actualizaciones de fichas de los proyectos de Inversión para los tramites presupuestales de Vigencias Futuras  y la correspondiente a la reducción presupuestal del decreto 2412 de 2019</t>
  </si>
  <si>
    <t xml:space="preserve">1.Soportes de las autorizaciones de vigencias Futuras del DNP. 
2. Pantallazos de las actualizaciones de las cadenas de valor 30 de Diciembre.
3  Reportes del SPI. </t>
  </si>
  <si>
    <t>Durante el primer trimestre se realizó la actualización de los dos (2) proyectos de inversión de la UBPD:  "Implementación de procesos humanitarios y extrajudiciales de búsqueda de personas dadas por desaparecidas en razón y en contexto del conflicto armado colombiano" y "Fortalecimiento de la Unidad de Búsqueda de personas dadas por desaparecidas", al Decreto 2467 de diciembre de 2018, de liquidación del Presupuesto General de la Nación. 
Por otra parte, se realizaron los seguimientos mensuales de la vigencia, recopilando y consolidando la información correspondiente a los avances cuantitativos y cualitativos reportados por los directores y jefes de oficina, que tienen productos asociados a las cadenas de valor de los proyectos de inversión.
Posteriormente, los proyectos de inversión fueron aprobados e incluidos en el Plan Operativo Anual de Inversión (POAI) para la vigencia 2020. En este orden, la cuota asignada a la entidad fue comunicada por el Departamento Nacional de Planeación el 15 de julio de 2019 mediante el Sistema Unificado de Inversiones y Finanzas Públicas y el presupuesto fue distribuido internamente en los 2 proyectos de inversión luego de una revisión efectuada con la Dirección General de la UBPD.
Finalmente, se realizaron las actualizaciones de fichas de los proyectos de Inversión para los trámites presupuestales de vigencias futuras 2020 y para la reducción presupuestal ordenada mediante Decreto 2412 de 2019</t>
  </si>
  <si>
    <t>40,63% de la ejecución presupuestal de los recursos de Inversión</t>
  </si>
  <si>
    <t>Se realizaron los informes mensuales sobre ejecución presupuestal con las respectivas alertas. Se enviaron memorandos a cada director de Oficina recordando la importancia de aunar esfuerzos para mejorar la ejecución de los recursos asignados. Se presento ante la dirección general y los miembros del comité de contratación la posibilidad desolicitar el Ministerio de Hacienda y Crédito Público - MHCP  y El Departamento Nacional de planeación - DNP una devolución de recursos al tesoro nacional. El 28 de octubre se realizó la primera propuesta de recorte ante los directivos de la entidad, en esta reunión se sugirieron realizar algunos ajustes. el 7 de Noviembre se presento ante la dirección general los ajustes solicitados y la nueva cifra susceptible de devolución ante el tesoro nacional, Finalmente el 13 de Noviembre se envia oficio a la DGPPN del MHCP con copia a la DIFP del DNP, solicitando la reducción de $13.000.000.000 en recursos de inversión, reducción que fue aprobada mediante el decreto 2412 de 2019</t>
  </si>
  <si>
    <t>1. Informes de Ejecución Presupuestal.
2. Memorandos sobre el seguimiento a la Ejecución Presupuestal.
3. Actas y presentaciónes reuniones 28 de Octubre  y 07 de Noviembre.
4. Oficio solicitud de recorte.</t>
  </si>
  <si>
    <t xml:space="preserve">Una de las principales dificultades para realizar un seguimiento detallado a la ejecución presupuestal, fue la imposibilidad de generar metas de ejecución mensuales por dependencia, dado que desde el inicio de la vigencia no se programó la totalidad de los recursos asignados en el PAA 2019, y se modificaron en repetidas ocasiones las fechas programadas para el inicio de los procesos contractuales. </t>
  </si>
  <si>
    <t>32% de los instrumentos de rendición de cuentas implementados</t>
  </si>
  <si>
    <t>Con el apoyo financiero del Programa de Naciones Unidas para el Desarrollo, PNUD, el 19 de junio de 2019, la UBPD realizó su primera audiencia pública para rendirle cuentas a las personas que buscan desaparecidos en el país, a los órganos de control, a sus aliados de cooperación, a otras entidades del Estado, a la academia, y a la ciudadanía en general, sobre lo que ha sido su entrada en operación desde el año 2018.
De manera directa y con el apoyo de la Dirección Técnica de Participación, Contacto con las Víctimas y Enfoques Diferenciales - DTPCVED, fueron identificadas y convocadas las organizaciones que trabajan el tema de desaparición en Bogotá, así como las que podrían ser invitadas desde región para venir a la audiencia. En este sentido, se contó con la participación de 153 personas, entre los que se encontraban 26 miembros de organizaciones sociales, incluyendo a 15 personas que provenían de fuera de Bogotá. 
Igualmente, durante su desarrollo, fue transmitida en directo vía streaming para permitir que pudiera ser vista por otras que no acudieran presencialmente. La grabación puede ser vista en YouTube y el detalle de la interacción durante el evento a través de redes sociales virtuales. En la jornada, la UBPD trabajó cuatro bloques temáticos “Las apuestas de la difusión, cubrimiento, puesta en escena y pedagogía”, en torno a los cuales compartió los avances y retos en lo que fue el primer año de definiciones conceptuales, selección y vinculación de personal idóneo, creación de herramientas y metodologías de trabajo, apertura de la oficina central y las primeras sedes territoriales, entre otras acciones de aprestamiento institucional para sus 20 años de mandato.
Para la rendición, fueron diseñadas las temáticas y preguntas, las cuales fueron traídas del formato propuesto por la Contraloría General de la Republica para evaluar el nivel general de avance sobre el tema, en el documento “Audiencias públicas en la ruta de rendición de cuentas a la ciudadanía de la Administración Pública Nacional”, adaptado a la audiencia realizada por la UBPD. El sondeo se publicó en la página principal de la web institucional, junto con el informe de gestión y rendición de cuentas de 2018 y la actualización del primer trimestre de 2019, con el propósito de darles suficiente visibilidad a esos documentos en el periodo antes de la audiencia. La encuesta también se difundió por correo electrónico, redes sociales y grupos de Whatsapp, logrando respuestas de 78 personas en los 10 días que estuvo abierta (entre el 17 y el 27 de mayo de 2019).
Sobre esa base, para convocar no solo se difundió la información de manera general hacia la ciudadanía, sino que se enviaron 200 correos electrónicos personalizados y se hicieron alrededor de 100 llamadas telefónicas para confirmar asistencia. Igualmente, es importante señalar que, además de las invitaciones personalizadas, la convocatoria se hizo llegar a través de redes sociales y Whatsapp a la ciudadanía en general, además de mantener el banner de la página web activo con la información de la audiencia y el acceso directo a los informes de gestión y rendición de cuentas.
Inicialmente, fue prioridad para la UBPD incluir la opinión de los grupos de interés, a partir de dos acciones; la primera fue la revisión de las PQRS que habían sido recibidas por la UBPD durante su funcionamiento, la segunda acción fue la creación de una encuesta virtual en la que se le preguntaba a la gente qué temáticas le interesaría que se abordaran de manera prioritaria o con mayor énfasis en la audiencia de rendición de cuentas que estaba siendo convocada. 
Adicionalmente, durante la audiencia se recibieron 46 preguntas y 31 comentarios o evaluaciones, para tal fin, se organizaron y categorizaron por temáticas y se construyó un documento con todas las respuestas. Para ello, se transcribieron las intervenciones que hicieron al respecto de cada pregunta las(os) directoras(es) de área en el marco de la audiencia, y se les transmitieron también las preguntas que no alcanzaron a ser contestadas, para poder completar el ejercicio y dar respuesta a todas las inquietudes de los participantes de la audiencia. 
Finalmente, es importante señalar que, tras la difusión del informe de gestión y rendición de cuentas de 2018, con una actualización del primer trimestre de 2019, tres organizaciones de Nariño enviaron a la UBPD una solicitud de información citando estos documentos , lo que se considera positivo, evidenciando interés de la sociedad en hacer seguimiento a la gestión y de querer comprender mejor la labor de búsqueda de personas dadas por desaparecidas. Además, evidencia que estos documentos sí son efectivamente consultados por la sociedad. Las preguntas incorporadas en esa petición, además de ser respondidas por escrito, también fueron tenidas en cuenta en la construcción de los contenidos de la audiencia.
Dando cumplimiento a los criterios que se establecen en las guías de rendición de cuentas para la construcción de los contenidos a abordar, se diseñó un guion para el conversatorio, mediante la sistematización y clasificación de los aportes por categorías, con lo cual se creó una estructura en la que se brindó la información básica requerida en una rendición de cuentas, pero que a su vez, diera la oportunidad para que la UBPD hiciera un diálogo con la sociedad en torno a los asuntos que son de mayor interés. 
En total se recogieron 24 comentarios, catalogados en un semáforo dependiendo de si la opinión sobre el evento era positiva, regular o negativa, de lo cual el balance hecho indica que la audiencia se consideró plenamente positiva en un 79%, mientras que un 21% de la gente tuvo comentarios que, si bien no se asumen como negativos, muestran aspectos que deberían mejorarse o temas en los que tal vez la información no fue suficiente
Con relación al indicador 019 “instrumentos de rendición de cuentas” el cual tenía por meta implementar el 100% de los instrumentos de rendición de cuentas para el 2019, se finaliza con un avance del 98% con un nivel de cumplimiento “adecuado”</t>
  </si>
  <si>
    <t>3 Auditoría de control interno realizada</t>
  </si>
  <si>
    <t>Teniendo en cuenta la retroalimentación por parte de la OAP, anexamos el acta No. 3 del Comité de Conciliación donde se aprueba la Política de Prevención del Daño Antijurídico del Estado.
De esta manera, la OAJ, quien ejerce la secretaria técnica del Comité de Conciliación, responsable de la aprobación de la PPDA por parte de la ANDJE, da cumplimiento  de 100% en la actividad planteada en el Plan de Acción 2019.</t>
  </si>
  <si>
    <t>Acta No. 3 del Comité de Conciliación.</t>
  </si>
  <si>
    <t>Se realizó reunión con UARIV en la que se solicitaron claves de acceso a SIRAV, se logró acceso a actos administrativos de inclusión y no inclusión; y se acordó desarrollo de capacitación del Portal de cifras por parte de la RNI. Esta jornada, se realizó del 7 al 11 de octubre en el marco del proceso "Establecimiento del estado del proceso de Búsqueda, del que hizo parte activa la UARIV.
UARIV ha apoyado creación de usuarios para VIVANTO desde la entrada de los equipos territoriales y han brindado soporte técnico cuando los usuarios de VIVANTO han caducado. Jenny Vaquero como enlace de UARIV con UBPD ha estado atenta para requerimientos de información.
UARIV dio acceso a un perfil que puede hacer cruces masivos de información con VIVANTO.
Con el ministerio del Interior se proyectó por parte de la Dirección de Información una propuesta de convenio, con el objetivo de "Aunar esfuerzos con el fin de establecer las condiciones marco para el acceso y suministro de información entre el Ministerio del Interior y la UBPD, relacionada con el cumplimiento de las funciones legales y constitucionales de las dos entidades, especialmente de aquellas que se refieren a la recolección de toda la información a nivel nacional para la búsqueda, localización e identificación de las personas dadas por desaparecidas en el contexto y en razón del conflicto armado, siempre y cuando no afecte las condiciones de confidencialidad que debe garantizar la UBPD"</t>
  </si>
  <si>
    <t>30% de protocolo de información construido</t>
  </si>
  <si>
    <t>El protocolo fue entregado a la Dirección General para su revisión y aprobación. Proceso que se encuentra en curso y a la fecha aún no ha sido aprobado</t>
  </si>
  <si>
    <t>Para este periodo fueron vinculados setenta y nueve (79) funcionarios a la SGTT complementando los equipos del nivel central y del nivel territorial, estas vinculaciones permitieron fortalecer los equipos territoriales de las sedes inicialmente abiertas. Así mismo, se reportan avances en las actividades de planeación y seguimiento, en cuanto se desarrollaron las siguientes acciones:
1.Reunión de seguimiento contractual y presupuestal 21_10_2019
2.Reunión de seguimiento a indicadores de plan de acción los días 6 y 17 de diciembre de 2019 Dirección de información y Dirección de Participación respectivamente.
3. Reunión de seguimiento a indicadores de plan de acción el día 26 diciembre de 2019, Dirección de Prospección.
Así mismo, se continuó con la implementación de herramientas como:
1. Herramienta de seguimiento contractual y presupuestal
2. cuadro de seguimiento a comisiones</t>
  </si>
  <si>
    <t>Para el periodo de reporte se realizó la apertura de catorce (14) sedes territoriales en instalaciones definitivas ubicadas en los municipios de Apartadó, Cali, Medellín, Arauca, Yopal, Montería, Barranquilla, Sincelejo, Villavicencio, Barrancabermeja, Cúcuta, Bogotá, Florencia e Ibagué.
Por otra parte, para el cuatro trimestre de 2019 se vincularon a la planta de personal de la UBPD setenta y seis (76) funcionarios  que complementaron los equipos territoriales, lo que ha permitido garantizar la presencia territorial de la UBPD en cumplimiento del mandato y las tareas encomendadas a la SGTT.</t>
  </si>
  <si>
    <t>1. Listado de sedes en funcionamiento suministrado por la SAyF
2. Listado de funcionarios vinculados por fecha a la SGTT (Las actas de nombramiento reposan en la Subdirección de Talento Humano)</t>
  </si>
  <si>
    <t>17% de los equipos territoriales de la UBPD en funcionamiento</t>
  </si>
  <si>
    <t>69% de los equipos territoriales de la UBPD en funcionamiento</t>
  </si>
  <si>
    <t>Documento con el 50% de los lineamientos del enfoque territorial de la UBPD</t>
  </si>
  <si>
    <t>Se logró cumplir con el indicador y sus respectivos hitos planeados para 2019</t>
  </si>
  <si>
    <t>18% de los lineamientos del enfoque territorial de la UBPD construidos</t>
  </si>
  <si>
    <t xml:space="preserve">No aplica, ya que el indicador se cumplió en el segundo trimestre del año </t>
  </si>
  <si>
    <t>No aplica, ya que el indicador se cumplió en el segundo trimestre del año</t>
  </si>
  <si>
    <t>0% del documento sobre criterios de evaluación y aprobación de los planes regionales de búsqueda presentado a la Dirección General de la UBPD para su aprobación</t>
  </si>
  <si>
    <t>20% del documento sobre criterios de evaluación y aprobación de los planes regionales de búsqueda presentado a la Dirección General de la UBPD para su aprobación</t>
  </si>
  <si>
    <t>Se cuenta con el borrador de criterios de formulación y evaluación de los planes de búsqueda elaborado</t>
  </si>
  <si>
    <t>38% de los planes regionales de búsqueda presentados a la Subdirección, evaluados</t>
  </si>
  <si>
    <t>7 matrices de caracterización de actores regionales clave para la búsqueda, diligenciadas</t>
  </si>
  <si>
    <t xml:space="preserve">Para el periodo de reporte se diligenciaron las (7) matrices correspondientes a los nuevos equipos territoriales: Florencia, Montería, Quibdó, Ibagué, Arauca, Yopal y Bogotá. </t>
  </si>
  <si>
    <t>Se adjuntan 7 matrices diligenciadas por los equipos territoriales</t>
  </si>
  <si>
    <t>34 encuentros con entidades e instituciones que conocen el trabajo de la UBPD y con las que se inicia un contacto de relacionamiento en el territorio</t>
  </si>
  <si>
    <t>Listas de asistencia y actas</t>
  </si>
  <si>
    <t>240 encuentros de asesoría, orientación, apoyo y fortalecimiento realizadas, de acuerdo a los lineamientos de la dirección de participación</t>
  </si>
  <si>
    <t>341 encuentros de asesoría, orientación, apoyo y fortalecimiento realizadas, de acuerdo a los lineamientos de la dirección de participación</t>
  </si>
  <si>
    <t>Cuadro consolidado, suministrado por la Dirección de Información donde se da cuenta del total de diálogos iniciales y acciones de asesoría y apoyo registradas en el sistema de información de la UBPD</t>
  </si>
  <si>
    <t>18 encuentros colectivos de asesoría, orientación, apoyo y fortalecimiento a familiares realizados</t>
  </si>
  <si>
    <t xml:space="preserve">Se llevaron a cabo 18 encuentros colectivos de apoyo, asesoría y orientación a familiares de acuerdo con los lineamientos de la Dirección de Participación en las sedes territoriales de Apartadó, Barrancabermeja, Barranquilla, Cali, Cúcuta, San José del Guaviare, Puerto Asís, Rionegro, Sincelejo y Villavicencio. </t>
  </si>
  <si>
    <t>Listados de asistencia y propuestas metodológicas para los encuentros realizados</t>
  </si>
  <si>
    <t xml:space="preserve">Se elaboraron y consolidaron los diez (10) documentos de contexto y situación de riesgo territorial </t>
  </si>
  <si>
    <t>10 documentos de contexto y situación de riesgo territorial</t>
  </si>
  <si>
    <t>El indicador se cumplir según lo planeado para 2019. Estos documentos fueron útiles para las lecturas territoriales realizadas por el equipo de seguridad de la UBPD como también por los mismos equipos territoriales.</t>
  </si>
  <si>
    <t>Se cuenta con las diez (10) matrices de caracterización de potenciales fuentes de información diligenciadas. Estas permitirán a la UBPD establecer las fuentes de información para adelantar los procesos de búsqueda</t>
  </si>
  <si>
    <t>Se adjunta diez (10) matrices diligenciadas</t>
  </si>
  <si>
    <t>El indicador se cumplir según lo planeado para 2019. Estas fichas serán un insumo clave para los equipos territoriales y la Dirección de Información durante las distintas fases del proceso de búsqueda.</t>
  </si>
  <si>
    <t>Se realizaron 8 Encuentros Nacionales [7 con organizaciones de la sociedad civil, incluidos familiares en el exilio y 1 octavo con entidades estatales], adicionalmente, el 2 de diciembre se realizó un encuentro con organizaciones y otro con entidades estatales, allí se presentó lo que en su momento se llamó "socialización del primer borrador del PNB".
El documento borrador del PNB fue entregado a la Dirección General y a la Subdirección General Técnica y Territorial para su revisión, dicho documento se constituirá en la base conceptual de la versión final del Plan que será construida durante enero de 2020, entendiendo esta como la versión final que se lanzará en febrero de 2020, según indicaciones de la Dirección General.</t>
  </si>
  <si>
    <t>Atendiendo el carácter confidencial de la información no se anexan soportes, pero las evidencias del reporte reposan en la DIPLOB en el siguiente enlace:
https://drive.google.com/drive/u/0/folders/1Ys5p5_2j7xui-Ek6hyHqEj8r_PFwAYCz</t>
  </si>
  <si>
    <t xml:space="preserve">LOGROS: se cumplió con el objetivo de lograr la participación de las organizaciones de la sociedad civil, quienes generaron importantes insumos para la construcción del PNB.
DIFICULTADES: la única dificultad, superada oportunamente, fueron los tiempos asignados por OIM y Operador Logístico, que a pesar de  no ser nuevos en el contexto de la solicitud de apoyos, generaron algunos momentos de afán en  la preparación logística de los encuentros participativos del PNB. </t>
  </si>
  <si>
    <t>Informe de personas dadas por desaparecidas cuya información ha sido recabada por la Unidad de Búsqueda de Personas dadas por desaparecidas.</t>
  </si>
  <si>
    <t>79,68% de información para la búsqueda recolectada, sistematizada y centralizada.</t>
  </si>
  <si>
    <t xml:space="preserve">Durante 2019 se recibieron en la UBPD 81.905 archivos con información que podría contribuir a la búsqueda de personas dadas por desaparecidas. De éstos, se han registrado y descrito en la matriz de registro de fuentes 65.265 que corresponden al 79,7% información que contribuye al universo de personas dadas por desaparecidas y que están relacionadas con hechos o casos específicos de desaparición, procesos judiciales, información sobre familiares o allegados de personas dadas por desaparecidas, información sobre alguna comunidad étnica, información sobre lugares de disposición de cuerpos, información personal sobre personas que participaron directa o indirectamente en las hostilidades, información personal sobre integrantes de la fuerza pública o agentes del estado, información personal sensible sobre personas que desean aportar información a la UBPD, información sobre el contexto político, histórico, social o económico en que se produjeron los hechos relativos a la desaparición de personas. </t>
  </si>
  <si>
    <t>Primer documento sobre universo de personas dadas por desaparecidas "Conceptualización y delimitación del alcance del Universo de Personas Dadas por Desaparecidas en razón y en el contexto del conflicto armado"
Segundo documento sobre universo de personas dadas por desaparecidas "Estimación del tamaño o magnitud del Universo de Personas dadas por Desaparecidas: Análisis sobre el Registro de Personas dadas por Desaparecidas y consideraciones para la estimación del subregistro de casos (Primera versión)"</t>
  </si>
  <si>
    <t>Con la elaboración de los dos documentos sobre el universo de personas dadas por desaparecidas se logró realizar una propuesta sobre el entendimiento que se tiene de este instrumento, concibiéndolo más allá de una cifra o registro, y proyectándolo como una herramienta que contribuirá a la búsqueda de personas dadas por desaparecidas, ya que permitirá realizar una caracterización de las mismas que busca no sólo conocerlas en detalle a ellas y a sus familias, sino poder determinar las circunstancias alrededor de su desaparición, con el fin de poder aportar a la determinación de lo acaecido.
Así mismo, la elaboración de estos documentos fue de gran utilidad para proponer la creación del procedimiento asociado con la construcción del universo y la estimación del subregistro, además de haber contribuido a orientar el desarrollo del proceso de elaboración de documentos de insumo para la formulación de proyectos conducentes a construir el censo de población indígena dada por desaparecida.
En contraste se presentaron retos y dificultades que se derivan de la fragmentación de la información, el subregistro, la falta de coherencia interna en los registros, así como la heterogeneidad en las definiciones de los mismos, la documentación insuficiente sobre el procedimiento aplicado por las fuentes para la recolección y tratamiento de la información, las dificultades para operacionalizar o parametrizar fenómenos tan complejos como el de la desaparición y la ausencia generalizada de enfoques diferenciales, territoriales, étnicos y de género en la información disponible.</t>
  </si>
  <si>
    <t>1 documentos sobre el registro nacional de fosas, cementerios ilegales y sepulturas elaborados</t>
  </si>
  <si>
    <t>Se hizo entrega  con hipótesis de localización a la Subdirección general Técnica y territorial los siguientes planes regionales de búsqueda:
1. Plan Regional de Búsqueda Alto Atrato y San Juan, Choco.
2. Plan Regional de Búsqueda San Juanito, Meta
3. Plan Regional de Búsqueda San Carlos de Guaroa, Meta
4. Plan Regional de Búsqueda Cementerio de Facatativa, Cundinamarca
5. Plan Regional de Búsqueda Tumaco (Zona Río Mira-Mataje), Nariño 
6. Plan Regional de Búsqueda Cementerio de Curumaní, Cesar
7. Plan Regional de Búsqueda La Montañita, Caqueta
8. Plan Regional de Búsqueda Puerto Nuevo, Nueva Loja, Ecuador.</t>
  </si>
  <si>
    <t xml:space="preserve">Memorando de entrega de los planes de búsqueda con hipótesis de localización a la Subdirección General técnica y territorial </t>
  </si>
  <si>
    <t>2 métodos de prospección valorados</t>
  </si>
  <si>
    <t>Como se había consignado previamente fue celebrado los contratos No 129, 130,131 y 132 de 2019 en el mes de septiembre de 2019, que permitió la adquisición de los equipos de Geofísica, Arqueología y Topografía requeridos, cabe resaltar que estos equipos eran indispensables para realizar las valoraciones de los métodos, la mayoría de esta tecnología no se encuentra en el territorio nacional y los proveedores seleccionados debieron iniciar el proceso de importación. Una vez finalizado, los equipos fueron entregados a la UBPD a mitades del mes de diciembre de 2019, circunstancia que impidió que se llevará a cabo la valoración de los métodos de prospección y recuperación. Así las cosas, para dirigir las acciones de prospección y recuperación en los diferentes escenarios de disposición de cuerpos de personas dadas por desaparecidas es necesario contar con equipos tecnológicos, herramientas y elementos.</t>
  </si>
  <si>
    <t>Actas de recibido a satisfacción de los contratos 129,130,131 y 132 con cada uno de los proponentes</t>
  </si>
  <si>
    <t>Los principales logros obtenidos durante la vigencia fue la adquisición de los equipos de Geofísica, Arqueología y Topografía requeridos asegurando el cumplimiento de los procesos internos administrativos.
Por otra parte, cuando cuando se realizó el plan de acción de la entidad para la vigencia 2019, la Dirección Técnica de Prospección, Recuperación e Identificación (DTPRI), no contaba con el equipo de personal en su totalidad, pues no se habían destinado los recursos para la conformación de la planta de personal de la UBPD, lo cual evidencia la dificultad para el cumplimiento de este indicador.</t>
  </si>
  <si>
    <t>12 prospecciones realizadas</t>
  </si>
  <si>
    <t>Los principales logros obtenidos durante la vigencia fue la adquisición de los equipos de Geofísica, Arqueología y Topografía requeridos asegurando el cumplimiento de los procesos internos administrativos  y la elaboración de los procedimientos de prospección, recuperación y guías anexas que contribuyen  a dirigir las acciones de prospección y recuperación en los diferentes escenarios de disposición de cuerpos de personas dadas por desaparecidas.
Es de aclarar, que los documentos mencionados se encuentran en fase de revisión y aprobación, por lo que a la fecha la UBPD no ha podido iniciar el proceso de prospección  de cadáveres dentro de esta vigencia, razón por la cual se considera como la mayor dificultad para el cumplimiento de este indicador.</t>
  </si>
  <si>
    <t>2 métodos de recuperación valorados</t>
  </si>
  <si>
    <t xml:space="preserve">Acta de recibido a satisfacción del contrato 074.
Procedimiento de prospección, recuperación y guías mencionadas. </t>
  </si>
  <si>
    <t>4 cuerpos recuperados</t>
  </si>
  <si>
    <t>Los principales logros obtenidos durante la vigencia fue la adquisición de herramientas e insumos requeridos asegurando el cumplimiento de los procesos internos administrativos y la elaboración de los procedimientos de prospección, recuperación y guías anexas que dirigen las acciones de prospección y recuperación en los diferentes escenarios de disposición de cuerpos de personas dadas por desaparecidas.
Es de aclarar, que los documentos mencionados se encuentran en fase de revisión y aprobación, por lo que a la fecha la UBPD no ha podido iniciar el proceso de recuperación  de cadáveres dentro de esta vigencia, razón por la cual se considera como la mayor dificultad para el cumplimiento de este indicador.</t>
  </si>
  <si>
    <t>100% de procesos de identificación monitoreados</t>
  </si>
  <si>
    <t>1 Acciones de Impulso implementadas para la identificación</t>
  </si>
  <si>
    <t>180 personas con asesoría, orientación y fortalecimiento para la participación en la búsqueda</t>
  </si>
  <si>
    <t>Durante la vigencia, se logró la elaboración de un documento preliminar de Lineamientos de Reencuentros con enfoques diferenciales, género y psicosocial, así como la construcción del procedimiento y flujograma preliminar para la realización de los Reencuentros.  De igual manera, se logró la articulación con la DIPL en el marco del “Plan Vivos” del cual hace parte un listado inicial de personas entregadas por las FARC y se dió inicio del relacionamiento interinstitucional con la Agencia para la Reincorporación y Normalización - ARN. 
Pese a estos esfuerzos, no se pudo cumplir con la realización de los 4 reencuentros definidos como Meta en el Plan de Acción, puesto que estos no fueron solicitados por las otras dos direcciones misionales, quienes  son las responsables de establecer las hipótesis de localización e identificación de las personas encontradas con vida.</t>
  </si>
  <si>
    <t>4 entregas dignas solicitadas</t>
  </si>
  <si>
    <t>3 entregas dignas solicitadas</t>
  </si>
  <si>
    <t>Acta de Reunión Entrega Digna Caso Palacio de Justicia 14-11-2019
Acta de Reunión Entrega Digna Gloria Anzola 11-10-2019
Acta Explicación Tecnico Forense y Reunion con familiares y entidades (INMLyCF y FGN), Diego Chica
Ayuda de memoria Reunion Interinstitucional - Entrega Diego Chica 27-11-19
Ayuda de memoria Reunion Interinstitucional -Entrega Diego Chica 12-11-19
Reunion con Entidades Entrega Digna Diego Chica 27-11-19
Informe Entrega Digna Gloria Isabel Anzola Mora
Informe Proceso de Entrega Diego Mauricio Chica Tamayo 13 y 14 de diciembre
Informe Entrega Digna - Bojayá
Bojayá Ayuda de memoria 28 de Octubre</t>
  </si>
  <si>
    <t>Durante la vigencia, se logró la coordinación interinstitucional para la contribución e impulso en cuatro (4) entregas dignas individuales y una (1) entrega digna de carácter colectivo. Asimismo, se logró la elaboración del documento preliminar de Lineamientos de Entregas Dignas con enfoques diferenciales, género y psicosocial y se construyó el procedimiento y flujograma preliminar para la realización de las Entregas Dignas. Cabe señalar como dificultad, que aún no se ha podido realizar una Entrega  Digna como resultado de los procesos de búsqueda que lidera la UBPD, debido a que la entidad se encontraba aún en diseños institucionales y en definiciones de procedimientos técnicos y administrativos.</t>
  </si>
  <si>
    <t>• Protocolo de Relacionamiento entre la UBPD y los Pueblos Indígenas de Colombia, desarrollado a partir de la Consulta Previa realizada en articulación con el SIVJRNR:
• Lineamientos del Enfoque Diferencial de Género y Derechos Humanos de las Mujeres para el proceso de búsqueda de personas dadas por desaparecidas en el contexto y en razón del conflicto armado.
• Lineamientos del Enfoque Diferencial de Orientaciones sexuales e Identidades de Género –LGBTI. para el proceso de búsqueda de personas dadas por desaparecidas en el contexto y en razón del conflicto armado.
• Lineamientos del Enfoque Diferencial de Niñez y Juventud para el proceso de búsqueda de personas dadas por desaparecidas en el contexto y en razón del conflicto armado.
• Lineamientos técnicos enfoque étnico de personas negras, afrocolombianas, raizales y palenqueras.
• Documento “Avance conceptual - lineamientos para la participación de las personas mayores en los procesos de búsqueda de sus seres queridos desaparecidos”
• Documento de avance Lineamientos Enfoque Diferencial de Personas con Discapacidad
En el mes de octubre:
• Acta de reunión, listado de asistencia y guión metodológico desayuno de coordinación interinstitucional
Enfoque de Género- Mujeres: 
En el mes de octubre:
• Acta de reunión y listado de asistencia Sesión del Enfoque de Género- Mujeres en el marco de la construcción del Plan Nacional de Búsqueda (Evento) 30/09/2019 01/10/2019
• Acta y Listado de asistencia Reunión con la Instancia Especial de Género en el Acuerdo de Paz 30/10/2019 
En el mes de noviembre:
• Acta y Listado de asistencia Reunión con la Cumbre Nacional de Mujeres y Paz 7/11/2019 
• Documento Instancia Especial de Mujeres Avances Enfoque de Género UBPD
En el mes de diciembre:
• Acta, Listado de asistencia y guión metodológico Encuentro con Mujeres en la ciudad de Bogotá 3/12/2019
Enfoque de Género- LGBTI:
En el mes de octubre: 
• Acta y Listado de asistencia Sesión del Enfoque de Género- LGBTI en el marco de la construcción del Plan Nacional de Búsqueda (Evento)30/09/2019 01/10/2019
• Acta y Listado de asistencia Sesión del Enfoque de Género- LGBTI en el marco de la construcción del Plan Nacional de Búsqueda (Evento) 10/10/2019 11/10/2019
• Acta y Listado de asistencia Encuentro Regional del Enfoque de Género- LGBTI para la construcción de los lineamientos "Identidades en el proceso de búsqueda" (Encuentro) 17/10/2019 18/10/2019
Enfoque Étnico- Comunidades Afrocolombianas: 
En el mes de octubre: 
• Acta y Listado de asistencia Sesión del Enfoque Étnico Afrocolombiano en el marco de la construcción del Plan Nacional de Búsqueda (Evento) 10/10/2019 11/10/2019
• Acta y Listado de asistencia Encuentro Regional del Enfoque Étnico Afrocolombiano para la construcción de los lineamientos (Encuentro) 11 y 12/10/2019 12/10/2019
Enfoque Étnico- Pueblos Indígenas: 
En el mes de octubre: 
• Acta y listado de asistencia Sesión del Enfoque de étnico Indígena en el marco de la construcción del Plan Nacional de Búsqueda (Evento) 16/10/2019 17/10/2019
• Acta y listado de asistencia Reunión de Asesoría Técnica a Equipo Técnico Indígena 23/10/2019
• Contratos de prestación de servicios.
• Convenios con las Organizaciones Indígenas.  
En el mes de noviembre:
• Acta y listado de asistencia Reunión con Gobierno Mayor 6/11/2019
• Acta y listado de asistencia Reunión virtual con Resguardo Indígena Arhuaco 7/11/2019
• Acta y listado de asistencia Reunión con AICO Pachamama- Documento convenio 8/11/2019
• Acta y listado de asistencia Reunión con la ONIC-Convenios 13/11/2019
• Acta y listado de asistencia Reunión de retroalimentación con el equipo indígena para revisar productos derivados de la contratación directa con la UBPD 22/11/2019
Enfoque de Niños, Niñas y Jóvenes: 
En el mes de octubre: 
• Acta y listado de asistencia Reunión de Preparación III Encuentro por la verdad de los Niños, Niñas y adolescentes realizado por la CEV 30/10/2019
• Acta y listado de asistencia Reunión con COALICO 3/10/2019
• Acta y listado de asistencia Reunión con COALICO 24/10/2019
• Acta y listado de asistencia Reunión UNICEF 4/10/2019
En el mes de noviembre: 
• Acta y listado de asistencia Reunión con Benposta 12/11/2019
• Acta y listado de asistencia Reunión con ARN 13/11/2019
• Acta y listado de asistencia Encuentro regional del Enfoque de Niños, Niñas y Jóvenes Bogotá 16/11/2019
• Acta y listado de asistencia Encuentro regional del Enfoque de Niños, Niñas y Jóvenes de Medellín 23 y 24 de noviembre de 2019
En el mes de diciembre:
• Acta y listado de asistencia Mesa técnica de niñez y adolescencia - Comisión para el Esclarecimiento de la Verdad 5/12/2019
• Acta y listado de asistencia Mesa Niñez y Conflicto Armado - Naciones Unidas 11/12/2019
Enfoque de Personas con Discapacidad
En el mes de noviembre: 
• Acta y listado de asistencia Reunión con INSOR 12/11/2019
• Acta y listado de asistencia Reunión con equipo Enfoque de discapacidad de la Unidad para las Víctimas 20/11/2019
Enfoque de Personas Mayores
• Documento Mapeo de actores
• Acta y listado de asistencia Encuentro- Grupo Focal con Personas Mayores 2/12/2019
• Acta y listado de asistencia Segunda Reunión de preparación del Encuentro con Personas Mayores (Reunión) 23/10/2019
• Acta y listado de asistencia Reunión de preparación del Encuentro con Personas Mayores (Reunión) 10/10/2019</t>
  </si>
  <si>
    <t xml:space="preserve">En desarrollo del proceso de construcción de los lineamientos de los Enfoques Diferenciales y de Género, se destacan durante la vigencia, los siguientes logros:
El Equipo de Enfoques se relacionó con 91 organizaciones, colectivos, movimientos y plataformas, con 50 de estas tuvo un relacionamiento contínuo durante el año 2019. 
En el Enfoque Étnico- Indígena, se realizó la consulta previa conjuntamente con el SIVJRNR, y se firmó el “Protocolo de Relacionamiento y Coordinación entre la UBPD y los Pueblos Indígenas de Colombia” y el “Protocolo para la Coordinación y Articulación de la Reparación Integral, Restaurativa y Transformadora de los Pueblos Indígenas de Colombia”.  A su vez, se instaló el Órgano de Interlocución y Coordinación entre la UBPD y el Movimiento Nacional Indígena establecido en la Consulta Previa como parte de la implementación del Protocolo de Relacionamiento y Coordinación de la UBPD con Pueblos Indígenas y se logró: (1) la instalación del Órgano de Interlocución y Coordinación entre la UBPD y el Movimiento Nacional Indígena establecido en la Consulta Previa, la contratación de 11 personas y 5 convenios con la Organización de los Pueblos indígenas de la Amazonía Colombiana OPIAC, la Organización Nacional Indígena de Colombia ONIC, las Autoridades Indígenas de Colombia por la Pacha Mama AICO, Autoridades Tradicionales Indígenas de Colombia GOBIERNO MAYOR y el Resguardo Indígena Arhuaco de la Sierra Nevada, los cuales están en desarrollo, como parte de la implementación del Protocolo de Relacionamiento y Coordinación de la UBPD con Pueblos Indígenas, y , (2) a nivel de despliegue territorial, se abrieron espacios de diálogo intercultural con pueblos y comunidades indígenas como la del Bajo Atrato y de la provincia del Darién.
En el Enfoque Étnico Pueblo- Rrom, se desarrolló toda la preparación, pre-consulta y despliegue territorial de la Consulta Previa con el Pueblo Rrom de la mano de las entidades del Sistema Integral de Verdad, Justicia, Reparación y No Repetición (JEP_CEV_UBPD) y con el apoyo del Ministerio del Interior en 11 territorios con las diferentes Kumpañy identificadas. Finalmente desarrollamos la Protocolización de la Consulta Previa con el Pueblo Rrom, como parte del reconocimiento de las tradiciones, usos, costumbres y cosmología propia del pueblo Rrom. 
Con relación al Enfoque Étnico- Afrocolombiano, se avanzó en el relacionamiento con organizaciones nacionales de las comunidades afrocolombianas como el CONPA o el Movimiento de Mujeres Negras a través de diferentes escenarios para el diseño de un Encuentro Nacional de construcción participativa de los lineamientos en el mes de agosto en Cali y en el marco de la Semana de la Afrocolombianidad con los tres mecanismos del SIVJRNR.
Logramos la articulación con la Comisión para el Esclarecimiento de la Verdad para la realización del Encuentro de Reconocimiento a la Persistencia de Mujeres y Familiares en la búsqueda de personas dadas por desaparecidas llevado a cabo en la ciudad de Pasto. 
Se culminaron los documentos preliminares de los Lineamiento de Enfoques Diferenciales y de Género para el proceso de búsqueda de personas dadas por desaparecidas en el contexto y en razón del conflicto armado: Enfoque Diferencial de Género y Derechos Humanos de las Mujeres, Enfoque Diferencial de Orientaciones sexuales e Identidades de Género –LGBTI, Enfoque Diferencial de Niñez y Juventud, Enfoque étnico de personas negras, afrocolombianas, raizales y palenqueras, Ruta de relacionamiento entre la UBPD y el Pueblo Rrom, Protocolo de Relacionamiento entre la UBPD y los Pueblos Indígenas de Colombia. 
Entre las mayores dificultades, está que la elaboración de los cinco documentos preliminares de lineamientos no se pudo realizar a través de la consultoría del Proyecto del ICTJ- Embajada de Holanda, debido a las siguientes dificultades: 1. El cronograma de la construcción participativa de los enfoques se ajustó continuamente, debido a reprogramación interna. 2. Se presentó la renuncia de cuatro de cinco consultores, dos de ellos, ante la solicitud de la dirección de participación de revisar con ellos la calidad de sus productos, en los que se evidenciaba incumplimiento de las directrices y las otras dos, por asuntos personales.  Lo anterior, llevó a replantear el cronograma del proyecto y a redistribuir al interior del equipo de la DTPCVED, las actividades previstas y la elaboración de los documentos. Esta situación genero cuestionamientos a la dirección de participación que no se abordaron oportunamente (tanto en la dirección como a nivel de la dirección general) para generar ajustes o cambio.   3. Se reelaboró el diseño metodológico para la construcción participativa de los Lineamientos de los Enfoques Diferenciales y de Género y la estructura de los documentos preliminares de lineamientos. 4. Los insumos elaborados por las consultoras requirieron permanentes ajustes al inicio del proyecto de ICTJ y esto atraso el cronograma.  </t>
  </si>
  <si>
    <t>11 organizaciones de la sociedad civil apoyan los procesos de participación en la búsqueda</t>
  </si>
  <si>
    <t>90% de los recursos ejecutados</t>
  </si>
  <si>
    <t>8% del PAC no utilizado</t>
  </si>
  <si>
    <t>98% de las solicitudes de bienes y servicios atendidas</t>
  </si>
  <si>
    <t>35% de la política de servicio al ciudadano adoptada</t>
  </si>
  <si>
    <t>52% de la política de servicio al ciudadano adoptada</t>
  </si>
  <si>
    <t>Seguimiento al Plan de Trabajo de Servicio al Ciudadano
Documentos de Política de Servicio al Ciudadano
Implementación de la Política de Servicio al Ciudadano</t>
  </si>
  <si>
    <t>Contribuyó en una construcción participativa, formulando y actualizando las guías, instructivos, manuales, formatos, protocolos y procedimientos que facilitaron la coordinación institucional, aprobó y adoptó la Política de Servicio al Ciudadano, entre otros especificados en el informe de gestión.</t>
  </si>
  <si>
    <t>55% del Plan Institucional de Gestión Ambiental - PIGA diseñado</t>
  </si>
  <si>
    <t>Para el cuarto trimestre se desarrollaron los siguientes hitos: i) Aprobar el Plan Institucional de Gestión Ambiental PIGA, respecto de lo cual se indica que el documento fue codificado, versionado, ajustado, revisado y aprobado dentro de los tiempos establecidos. (se anexan los soportes de gestión y aprobación) ii) Adoptar el PIGA: Se proyectó el documento de adopción del documento PIGA de la UBPD, (se anexa circular 028 de 2019).
De acuerdo con lo señalado se logra el cumplimiento total del indicador para la vigencia 2019</t>
  </si>
  <si>
    <t>Plan Institucional de Gestión Ambiental PIGA
Aprobación</t>
  </si>
  <si>
    <t>39,8% de los Instrumentos archivísticos elaborados</t>
  </si>
  <si>
    <t>31% de los Instrumentos archivísticos elaborados</t>
  </si>
  <si>
    <t>Estructura del Plan Institucional de Archivos – PINAR, 
Estructura del Programa de Gestión Documental
Estructura Tablas de Retención Documental</t>
  </si>
  <si>
    <t>Estructura del Plan Institucional de Archivos – PINAR, 
Estructura del Programa de Gestión Documental
Estructura Tablas de Retención Documental
Dificultades: no fue posible llevar a cabo la presentación, situación ajena al control del Proceso de Gestión Documental.
Las validaciones por parte de las dependencias que intervinen han tomado mayor tiempo de lo programado</t>
  </si>
  <si>
    <t>52,7% de cargos vacantes provistos de manera oportuna</t>
  </si>
  <si>
    <t>Novedades planta trimestre 4</t>
  </si>
  <si>
    <t>51 Servidores públicos capacitados</t>
  </si>
  <si>
    <t>28% del plan de bienestar social y estímulos implementado</t>
  </si>
  <si>
    <t>Registro fotográfico, listados de asistencia e invitaciones a las actividades.</t>
  </si>
  <si>
    <t>Logros: Consolidar actividades donde se involucran a las familias de los servidores  y espacios deportivos
Dificultades: Consolidación de espacios para los territorios</t>
  </si>
  <si>
    <t>23% del sistema de seguridad y salud en el trabajo implementado</t>
  </si>
  <si>
    <t>40% del código de integridad implementado</t>
  </si>
  <si>
    <t>10% del código de integridad implementado</t>
  </si>
  <si>
    <t>Presentación PowerPoint
Listado de Asistencia
Acta de reunión 002 del 3 de diciembre (ESTÁ PENDIENTE DE FIRMAS)</t>
  </si>
  <si>
    <t>Logros: Dar inicio a reuniones de construcción de nuestros valores
Dificultades: Las demoras en los tiempos de validación y estructuración del sistema de la entidad si era MIPG o MECI</t>
  </si>
  <si>
    <t>Análisis preliminar de la encuesta de resiliencia</t>
  </si>
  <si>
    <t>Captura de Reporte generado desde la consola de administración g-suite.
Archivo de excel con el analisis del reporte generado por g-suite.
Evidencias disponibles en:https://docs.google.com/spreadsheets/d/1P0vjqvYmHmhpT4hwzJERrkg5MMJFdinUlDHcSUrMCHU/edit#gid=1511816092</t>
  </si>
  <si>
    <t>El principal logro contrario a lo que en principio se creyó, es que los usuarios si usuaron las herramientas colaborativas de manera autónoma y fortalecieron sus conocimientos con las capacitaciones que se dieron en la vigencia.
La dificultad se dio en materia de conocer la fecha concreta de vinculaciones, a fin de capacitarlos antes de su inicio de labores.</t>
  </si>
  <si>
    <t>Para el cuarto trimestre no se presentaron fallas en ninguno de los servicios medidos en el indicador.</t>
  </si>
  <si>
    <t>Como logro principal se destaca que los servicios ya se encuentran estables para la sede central de la entidad, y se continuará con el aseguramiento del mismo para el 2020.
Dificultad, las instalaciones de la entidad durante la vigencia se presentaron fallas atribuibles a la entidad, como: sobrecalentamiento de los cuartos técnicos y fallas en el fluido eléctrico.</t>
  </si>
  <si>
    <t xml:space="preserve">Octubre: Se realizó la socialización de los procedimientos al interior de la OTIC. 
Como resultado de la socialización se identificó la necesidad de realizar algunos ajustes a los procedimientos: Políticas de seguridad y Gestión de eventos o incidentes de seguridad, los cuales se desarrollaron en coordinación con la consultoría.
Noviembre: Se remite a la consultoría procedimientos aprobados para firmas y publicación en el sistema de gestión. 
Se remite solicitud de publicación de procedimientos del proceso de Gestión de TI.
Procedimientos publicados en el Sistema de Gestión. </t>
  </si>
  <si>
    <t>Se genera la primera versión del PETI. Este documento aplica para el periodo comprendido entre las vigencias 2019 – 2020 para la Unidad de Búsqueda de Personas dadas por Desaparecidas.
Para su desarrollo se realizó la aplicación de algunos aspectos de mejores prácticas de arquitectura empresarial con el fin de analizar los temas relacionados con Estrategia de Tecnologías de la Información, Gobierno de Tecnologías de la Información, Información y Sistemas de Información.
Este documento igualmente, describe las estrategias y proyectos de Tecnologías de Información que propone ejecutar la Oficina de Tecnologías de la Información durante el período establecido para apoyar el cumplimiento de los objetivos misionales definidos en el Plan Estratégico.</t>
  </si>
  <si>
    <t>. La OAP realizó monitoreo y seguimiento del Mapa de Riesgos de Corrupción del tercer periodo de 2019. Así mismo, fue publicado en la página web de la UBPD
2. La política de administración de riesgos fue aprobada en Comité Institucional de Coordinación de Control Interno sesión No 6 del día 06 de noviembre de 2019 y remitida a la Dirección General para la revisión final.
3. Se avanzó en el diseño de los procesos estratégicos, misionales, apoyo y evaluación con los respectivos procedimientos y demás documentos necesarios para la operación de estos.
4. La OAP lideró la construcción del Plan de Acción del MECI en el componente evaluación del riesgo y en el componente actividad de control. Así mismo, desarrolló una presentación de cada uno de los componentes del Sistema de Control Interno. 
5. En el Comité Institucional de Coordinación de Control Interno realizado el día 19 de septiembre de 2019 se presentaron cada uno de los componentes del MECI y las acciones generales a desarrollar, por parte de cada uno de los líderes de estas temáticas, para la revisión y aprobación de los miembros del Comité. 
6. Como parte del fortalecimiento a las acciones de socialización del Modelo de Operación por Procesos el día 12 de diciembre 2020, se realizaron dos jornadas de sensibilización sobre los puntos relevantes de un modelo, definiciones básicas, la pirámide documental, las acciones a desarrollar para la elaboración, actualización y modificación de los documentos y el acceso a la información oficial del Sistema de Gestión de la UBPD.</t>
  </si>
  <si>
    <t>Dificultades:
1.Se dificultó la realización de las reuniones con algunas dependencias para la determinación de los riesgos que podían constituir potenciales acciones judiciales.
2. Algunas áreas no remiten en los términos indicados los informes sobre el avance en las actividades planteadas en el plan de acción de la Política de Prevención del Daño Antijurídico.
Logros:
1. A partir de la identificación de los riesgos, la Oficina Asesora Jurídica emitió conceptos que pueden servir de insumo para la elaboración de instrumentos y acciones por las áreas para el cumplimiento de sus funciones.
2. Durante la vigencia 2019, no se presentaron acciones judiciales por los riesgos priorizados de lo que se infiere que las medidas y mecanismos formulados en el marco de la política de prevención fueron efectivos para evitar la materialización del daño antijurídico.</t>
  </si>
  <si>
    <t>1. Ficha de proyecto OIM - USAID 1424 - Estrategia de Pedagogía 
2. Ficha de proyecto OIM - USAID 1416 - Planeación Estratégica 
2. Convenio Diakonia Suecia y Pastoral Social firmado - Operativización concepto humanitario y extrajudicial</t>
  </si>
  <si>
    <t>17,46% de los recursos de cooperación internacional ejecutados</t>
  </si>
  <si>
    <t>1. Contrato firmado y anexo (TDR) de consultoría para apoyar a la UBPD, firmado entre consultora externa Ana Maria Gugliemucci, el Departamento Nacional de Planeación - DNP- y el Banco Aleman KFW.</t>
  </si>
  <si>
    <t>Logros: identificar temáticas a trabajar, perspectivas diversas, debates existentes y temas que no han tenido mayor desarrollo puesto que la investigación se encuentra incipiente.
Limitaciones:  escases de recurso humano y de tiempo para la divulgación de los estudios</t>
  </si>
  <si>
    <t>La principal dificultad con el cumplimiento del indicador se relacionó con el desarrollo de los procesos contractuales que soportaban los productos esperados. Lo anterior debido a que el proceso de consultoría  fué declarado desierto ya que el proponente no cumplió las condiciones jurídicas y técnicas requeridas por la entidad.</t>
  </si>
  <si>
    <t xml:space="preserve">LOGROS: posicionar mensaje La Búsqueda es Contigo. Construir confianza con familiares. Publicaciones positivas en medios. Ejecución del presupuesto. DIFICULTADES: contar con información de avances para comunicar resultados. Posicionar avances más allá de personas encontradas. Tiempos de revisión interna. Situación de seguridad de familiares. Equipo pequeño. </t>
  </si>
  <si>
    <t>LOGROS: posicionar el correo de comunicaciones para el envío de información interna. Establecer canales como la Cartelera Interna. DIFICULTADES: alta demanda de solicitudes internas frente a tiempos de producción de piezas. Tiempos de aprobación interna (Ej. Boletín Interno).</t>
  </si>
  <si>
    <t>1.Memorando N. entrega del informe de auditoría del proceso contractual.
2.Informe de auditoría al proceso de Gestión Contractual
3.Memorando N.210-3-201902761 de fecha 24/12/2019, entrega del informe de auditoría al proceso de Almacén -Inventario.
4.Informe de auditoría al proceso de Almacén -Inventario.
5. Seguimiento del plan de mejoramiento.
https://www.ubpdbusquedadesaparecidos.co/wp-content/uploads/2019/11/seguimiento-4-y-5-seguimiento-del-plan-de-mejoramiento-Auditor%C3%ADa-Interna-Proceso-de-vinculaci%C3%B3n.xls
https://www.ubpdbusquedadesaparecidos.co/wp-content/uploads/2019/11/Plan-de-Mejoramiento-politica-de-cuidado-Institucioanl.pdf.
https://www.ubpdbusquedadesaparecidos.co/wp-content/uploads/2019/12/Plan-de-mejoramiento-Gesti%C3%B3n-Contractual.pdf</t>
  </si>
  <si>
    <t>Logros: En desarrollo del rol de seguimiento y evaluación, la OCI realizó un informe ejecutivo anual y tres informes pormenorizados, los cuales fueron presentados a la Representante Legal y a los miembros del Comité Institucional de Coordinación de Control Interno. Con base en estos informes, los líderes de proceso formularon un plan de acción para el diseño e implementación del MECI.</t>
  </si>
  <si>
    <t>El Plan Anual de Auditorías y Seguimientos 2019, fue modificado de acuerdo al Comité de Coordinación de Control Interno N.4 de fecha 19 de septiembre de 2019. Por lo anterior, la auditoría de Gestión Contractual quedo con fecha de terminación 30 de octubre de 2019.
Adicionalmente, la Oficina de Control Interno ejecutó todas las auditorías programadas para la vigencia 2019.</t>
  </si>
  <si>
    <t>Actas de recibido a satisfacción de los contratos 129,130,131 y 132 con cada uno de los proponentes
Actas de reunión para la socialización del protocolo de prospección.</t>
  </si>
  <si>
    <t>El reporte correspondiente al último trimestre de la vigencia, presentó respectivamente para los meses de octubre, noviembre y diciembre indicadores del 13,3%, 9,3% y 6,0%. 
Frente a las dificultades identificadas se encuentran: Falta de claridad por parte de los supervisores al momento de estructurar la forma de pago respecto de los momentos efectivos de hacerse exigible el desembolso. Con relación a las estrategias, la SAF monitorea permanentemente el ritmo de ejecución del PAC por dependencias, remitiendo alertas tempranas advirtiendo la urgente necesidad de ejecutar y en los tiempos correspondientes.</t>
  </si>
  <si>
    <t>Falta de claridad por parte de los supervisores al momento de estructurar la forma de pago respecto de los momentos efectivos de hacerse exigible el desembolso. Con relación a las estrategias, la SAF monitorea permanentemente el ritmo de ejecución del PAC por dependencias, remitiendo alertas tempranas advirtiendo la urgente necesidad de ejecutar y en los tiempos correspondientes.</t>
  </si>
  <si>
    <t>El Plan de gestión Ambiental permite plantaear actividades, medios y técnicas tendientes a resolver, mitigar y/o prevenir los problemas de carácter ambiental, procurando la conservación de los recursos naturales y las relaciones ecológicas, así como el establecimiento de  parámetros ambientales adecuados para la UBPD, para ejercer acciones responsables con el entorno.</t>
  </si>
  <si>
    <t>Comprobantes de ingreso y egreso
Soportes de operador Logístico</t>
  </si>
  <si>
    <t>Dificultades en los tiempos de revisión.</t>
  </si>
  <si>
    <t>Resolución 1257 del 23 de octubre de 2019 
Memorando No. 100-3-201901230 del día 28 de agosto de 2019 con anexo
Memorando No. 100-3-201901547 del día 25 de septiembre de 2019 
Propuesta de fortalecimiento de equipos de trabajo</t>
  </si>
  <si>
    <t>Base de datos con el link de publicación de los contratos en las correspondientes plataformas establecidas para tal fin (actualizada).</t>
  </si>
  <si>
    <t xml:space="preserve">Reportes de ejecución presupuestal del cuarto trimestre de 2019  
Dto. Reducción presupuestal 2412 de 2019 - Ministerio de Hacienda </t>
  </si>
  <si>
    <t xml:space="preserve">Como principal dificultad, es de resaltar que se tomó más tiempo de lo planeado en la toma de decisiones para llevar a cabo diferentes procesos de contratación, como consecuencia se corrieron los cronogramas y se acortaron los tiempos para la ejecución presupuestal.  </t>
  </si>
  <si>
    <t>63.5% de los recursos ejecutados</t>
  </si>
  <si>
    <t>Al cierre del cuarto trimestre se reporta un total de 306 servidores vinculados en la planta de la UBPD. Así las cosas, al 31 de diciembre de 2019 se reportan 111 vacantes. La provisión de cargos fue efectuada de la siguiente manera por cada uno de los meses del cuarto trimestre del año: 11 cargos provistos en octubre, 41 cargos provistos en el mes de noviembre y 65 cargos provistos en el mes de diciembre; con lo anterior, se obtiene un total del trimestre de 117 cargos provistos, y de acuerdo con las vacantes al inicio del trimestre, 222, se obtiene un cumplimiento trimestral del 53%.</t>
  </si>
  <si>
    <t>Para el cierre de la vigencia 2019, se llevaron a cabo las siguientes actividades:
 3 hitos pendientes del tercer trimestre se realizaron en el último cuatrimestre: El día de la familia el día 15 de diciembre (3,33%), el torneo de bolos el día 16 de noviembre (3,33%) y el taller del chef el día 7 de diciembre (3,33%). 
Correspondientes al cuarto trimestre, se realizaron las siguientes actividades:
Un diálogo de equipo a nivel central el día 13 de diciembre (2,72%), la actividad del día de los niños el día 25 de octubre (3,33%), la feria de arte y manualidades el día 29 de noviembre (2,72%), las vacaciones recreativas los días 4,5,6,9 y 10 de diciembre (2,72%), un segundo taller del chef el día 14 de diciembre (2,72%) y la actividad de cierre de gestión el día 16 de diciembre (4%). 
El porcentaje de ejecución corresponde al 28,2% durante el cuarto trimestre
No se realizó la actividad de visita de empresas (3%) y la feria gastronómica (2,72%), teniendo en cuenta que la entidad no cuenta con un espacio apropiado para el desarrollo de estas actividades. Tampoco se llevó a cabo la caminata ecológica (2,72%) por temas de presupuesto, ni la realización del grupo ejecutivo (3,35%) por limitación en las agendas del nivel directivo.</t>
  </si>
  <si>
    <t>Para el cierre de la vigencia, se realizaron las siguientes actividades:
3 hitos pendientes del tercer trimestre: aprobación e inclusión de los lineamientos del SG-SST en el procedimiento de gestión del cambio de la Unidad (a cargo de la OAP) (0,5%), se estableció el programa de hábitos saludables GTH-PG-001 PROGRAMA HABITOS DE VIDA SALUDABLE (0,5%), y se estableció el Plan GTH-PL-004 Plan de prevención, preparación y respuesta ante Emergencias (5%). 
Correspondiente al cuarto trimestre se realizaron las siguientes actividades:  
El módulo de capacitación para el Comité de Convivencia Laboral y COPASST, en cada uno de los comités se le realizo capacitación respecto de las funciones y responsabilidades (0,5%). 
Se estableció el programa de capacitación GTH-PG-002 PROGRAMA DE CAPACITACION EN SEGURIDAD Y SALUD EN EL TRABAJO 25-11-2019 y se ejecutaron las diferentes actividades planeadas en este (2%). 
Se estableció la matriz de comunicación la cual fue socializada ante la OAC (0,5%), este documento será integrado en el plan de comunicación de la UBPD. 
Se realizó la verificación del cumplimiento de los requisitos de SST para los contratos de prestación de servicios y de los demás contratistas que se encuentran al interior de las instalaciones de la UBPD (conductores, aseo y cafetería, 472, vigilancia) (1%). 
Se logró la aprobación e inclusión de los lineamientos del SG-SST en el procedimiento de gestión del cambio de la Unidad, el cual está a cargo de la Oficina Asesora de Planeación (0,5%). 
Se llevaron a cabo actividades de promoción y prevención tales como: Pausas activas, banners de prevención de la salud y la aplicación de la batería de riesgo psicosocial (0,5%). 
Se estableció el programa de hábitos saludables GTH-PG-001 PROGRAMA HABITOS DE VIDA SALUDABLE (0,5%). 
Se realizaron actividades como taller del chef y campañas de prevención (0,5%). 
Se realizaron las diferentes medidas de prevención las cuales se encuentran descritas en la matriz de riesgos en la pestaña de seguimiento (2,5%). 
Se realizó la implementación de las medidas de intervención establecidas para el año 2019, como se describe para cada uno de los riesgos (biológico, biomecánico, condiciones de seguridad, psicosocial, físico) (2%). 
Se establecieron los procedimientos que soportan al SG-SST, para el reporte y la investigación de accidentes de trabajo y realización de evaluaciones medicas ocupacionales y plan de emergencias (0,5%).
Se realizaron diferentes mantenimientos al mobiliario como sillas, mesas, luminarias, entre otros (2,5%). 
Se conformó la brigada y se realizó capacitación en primeros auxilios y control del fuego, camuflaje (5%). 
En el mes de diciembre se realizó el seguimiento al SG-SST por parte de la Oficina de Control Interno (2.5%). 
La actividad de establecer el profesiograma no se realizó, teniendo en cuenta que el proceso de contratación fue declarado desierto.</t>
  </si>
  <si>
    <t>22,5% del sistema de seguridad y salud en el trabajo implementado</t>
  </si>
  <si>
    <t>Se realizó el análisis de la encuesta de resiliencia con el fin de identificar el nivel de resiliencia de cada dependencia. De acuerdo al Plan de Acción 2020, la encuesta de medición del clima laboral se desarrollará en el año 2020.</t>
  </si>
  <si>
    <t>1. Base de registro unificada de la DIPL.Ruta  E:\lordonezg\Documents\Back Up's\Respuestas Solicitudes\Solicitudes (respuestas).
2. Documento versión final en revisión Lineamientos de Participación en la Búsqueda
3. Documento de socialización de herramientas pedagógicas y piezas comunicativas
4. Acta reunión oficina Gestión del Conocimiento, -Informe de Evaluación Proceso de Participación.
5. Informe Encuentro familiares Chile y Argentina</t>
  </si>
  <si>
    <t xml:space="preserve">Se logró la elaboración del documento preliminar de Lineamientos de Entregas Dignas con enfoques diferenciales, género y psicosocial y la construcción del procedimiento y flujograma preliminar para la realización de las Entregas Dignas. 
Asimismo, durante el cuarto trimestre, atendiendo a la solicitud recibida por los familiares en el caso de la toma y retoma del Palacio de Justicia, se hace un trabajo articulado con la Fiscalía desde el GRUBE y la Fiscalía Primera Delegada Ante la Corte, la Unidad para las Víctimas, Cancillería, Alcaldía de Bogotá, la UBPD, la organización que representa jurídicamente a la familia y la Comisión Intereclesial de Justicia y Paz y se realiza la entrega digna de la Sra. Gloria Isabel Anzola Mora durante el 9 y 10 de diciembre. Igualmente, se logró la articulación y coordinación con el Instituto Nacional de Medicina Legal – Seccional Caquetá y la Fiscalía Tercera de Vida, y se revisan conjuntamente las acciones adelantadas por cada entidad para el proceso de entrega digna del Sr. Diego Mauricio Chica Tamayo desarrollada el 13 y 14 de diciembre.  Para el proceso de entrega digna de las víctimas de la Masacre del 2 de mayo de 2002 en Bojayá, la UBPD se articula con la Fiscalía General de la Nación, Unidad para la Atención y Reparación Integral a las Víctimas, Instituto Nacional del Medicina Legal, y el Equipo Forense Independiente EQUITAS para la contribución una (1) entrega digna colectiva. La UBPD comienza con su contribución en la entrega del 15 de noviembre, fecha en que concluyen las explicaciones técnicas sobre los cuerpos recuperados, y se da continuidad a las reuniones con los familiares de las personas que no se ha logrado encontrar, de tal manera que se dé conocer a las familias la entidad y se pudiese orientar respecto al carácter de humanitario y extrajudicial, y como podría contribuir en la búsqueda. 
Sin embargo, pese a los avances en esta área y a la contribución en las entregas dignas realizadas, los procesos de búsqueda que lidera la UBPD no han posibilitado realizar una Entrega Digna propia y como resultado de procesos de investigación, localización, recuperación e identificación que realiza la entidad. </t>
  </si>
  <si>
    <t>Durante el cuarto trimestre la DTPCVED, se logró suscribir dos convenios: (1) entre la UBPD y la Comisión Colombiana de Juristas - CCJ, que conformaron una red de apoyo sobre la búsqueda de personas dadas por desaparecidas a causa de desaparición forzada y reclutamiento, la cual agrupa siete organizaciones (Coordinación Colombia Europa Estados Unidos, Colectivo Sociojurídico Orlando Flas Borda, Movimiento Nacional de Víctimas de Crímenes de Estado, Corporación Vínculos, Corporación Regional para la Defensa de los Derechos Humanos, Comité Permanente por la Defensa de los Derechos Humanos y Corporación Construyendo Poder, Democracia y Paz); y (2) entre la UBPD y la Fundación para la Protección de los Derechos de las Víctimas de Secuestro, Desaparición Forzada y Otros Hechos Victimizantes - FUNVIDES que conformaron una red de apoyo sobre la búsqueda de personas dadas por desaparecidas a causa del secuestro, que agrupa a: Asociación de Víctimas del Guaviare, Asociación Red de Mujeres Rurales Vereda la Y, Asociación de Víctimas de Secuestro y Desaparecidos del Putumayo y la Asociación Colombiana de Militares Víctimas Secuestrados y Desaparecidos.
Si bien el indicador mide la agrupación organizaciones que conformen una red de apoyo. Logramos la constitución de dos redes de apoyo, una con la agrupación total de 7 organizaciones y la segunda compuesta por 4 organizaciones para un total de 11 organizaciones que apoyan los procesos de búsqueda. 
Frente al convenios se lograron ejecutar las siguientes actividades del mismo:-acciones que fortalezcan la participación de las familias en el proceso de búsqueda, -Intercambio de experiencias de búsqueda entre los familiares que buscan, que contribuya a la construcción de lazos de confianza, solidaridad y fortalezca su participación en la búsqueda, -Sensibilización dirigida a la comunidad del entorno, sobre el fenómeno de la desaparición en el marco del conflicto armado y sus implicaciones sobre las familias y la sociedad en general, -Diseño de estrategia pedagógica sobre la labor de la UBPD dirigida a los familiares y allegados que buscan, -Encuentros pedagógicos sobre la labor de la UBPD dirigida a los familiares y allegados.
Es importante anotar que a los convenios se le realizaron prorrogas y por lo tanto actividades establecidas en los mismos como la evaluación de la estrategia de la construcción de la red de apoyo se van a realizar en 2020.</t>
  </si>
  <si>
    <t>Convenios de Asociación (convenio 174 y convenio 175 de 2019)
Propuesta de la Comisión Colombiana de Juristas
Propuesta de FUNVIDES
Informe Narrativo desembolso DF
Acta entrega registros de participación DF
Relatorías Intercambio de experiencias DF
Memorias Encuentros Pedagógicos DF
Estrategia Pedagógica DF
Informe Ejecución SGM</t>
  </si>
  <si>
    <t>Actas, listas de asistencia, bases de datos y demás soportes relacionados. 
Informe 2019 Relacionamiento Organizaciones, colectivos, movimientos y plataformas.
Documento detalles cuantitativos del relacionamiento.
Documento objetivos y compromisos relacionamiento 2019</t>
  </si>
  <si>
    <t>Acta de reunión e informes donde se socializó el seguimiento y  los resultados del proceso de identificación del cuerpo recuperado.</t>
  </si>
  <si>
    <t>Se logró el cumplimiento de este indicador alcanzando el cumplimiento del 100% de la meta establecida para cada uno de los equipos de impulso a la identificación en las sedes de Medicina Legal las ciudades de Medellín, Bogotá, Cali, Pereira, Neiva, Barranquilla, Bucaramanga, Villavicencio. Asi mismo, se realizó un análisis integral de 711 casos ingresados en el instrumentos de diagnóstico y se propuso planes de acción para cada uno de ellos</t>
  </si>
  <si>
    <t xml:space="preserve">La DTPCVED, a través del Equipo de Enfoques Diferenciales y de Género, de octubre a diciembre de 2019, desarrolló actividades con 53 organizaciones, colectivos, movimientos y plataformas de la sociedad civil, familiares y acompañantes; con 22 de estas ya había tenido relacionamientos previos.
En el último trimestre del año 2019 se culminaron los documentos versión final en revisión, de los Lineamiento de Enfoques Diferenciales y de Género los cuales contemplan los siguientes productos:
(1) Lineamientos del Enfoque Diferencial Étnico Indígena y Rrom: Protocolo de Relacionamiento entre la UBPD y los Pueblos Indígenas de Colombia, desarrollado a partir de la Consulta Previa realizada en articulación con el SIVJRNR. Ruta de relacionamiento entre la UBPD y el Pueblo Rrom. 
(2) Lineamientos del Enfoque Diferencial de Género y Derechos Humanos de las Mujeres para el proceso de búsqueda de personas dadas por desaparecidas en el contexto y en razón del conflicto armado.
(3) Lineamientos del Enfoque Diferencial de Orientaciones sexuales e Identidades de Género –LGBTI. para el proceso de búsqueda de personas dadas por desaparecidas en el contexto y en razón del conflicto armado.
(4) Lineamientos del Enfoque Diferencial de Niñez y Juventud para el proceso de búsqueda de personas dadas por desaparecidas en el contexto y en razón del conflicto armado.
(5) Lineamientos técnicos enfoque étnico de personas negras, afrocolombianas, raizales y palenqueras.
De igual forma, se desarrollaron documentos de avance en los siguientes Enfoques: 
(6) Documento “Avance conceptual - lineamientos para la participación de las personas mayores en los procesos de búsqueda de sus seres queridos desaparecidos”
(7) Documento de avance Lineamientos Enfoque Diferencial de Personas con Discapacidad
En ese sentido, y con el apoyo del Proyecto de Cooperación con el ICTJ y la Embajada de Holanda, que en este trimestre se implementaron los siguientes escenarios de construcción participativa de los lineamientos, relacionamiento con movimientos sociales y en general, gestión de acciones con Enfoque Diferencial y de Género:
• En materia del Enfoque de Género y DDDH de las Mujeres los principales desarrollos en este trimestre contemplan (1) la sesión con Organizaciones Sociales de Mujeres en el marco de la construcción del Plan Nacional de Búsqueda (2) el desarrollo del Encuentro de Mujeres en la ciudad de Bogotá para los Lineamientos del Enfoque. (3) Una formación en Villavicencio en Enfoque de Género y DDHH de las Mujeres a los Equipos Territoriales UBPD con cooperación de ONU Mujeres, (4) Interlocución con la Instancia Especial de Mujeres que le hace seguimiento al Acuerdo de Paz y otras organizaciones sociales de mujeres como la Cumbre Nacional de Mujeres y Paz. 
• De igual manera, en el Enfoque de Género- Personas con Orientaciones Sexuales e Identidades de Género Diversas –LGBTI-, desde la UBPD los avances que han contribuido a la construcción de los lineamientos se realizaron las siguientes acciones: (1) la sesión con Organizaciones sociales LGBTI en el marco de la construcción del Plan Nacional de Búsqueda, (2) el desarrollo de dos encuentros regionales para los Lineamientos LGBTI en Medellín y Cúcuta, (3) Una formación en Villavicencio en Enfoque LGBTI a los Equipos Territoriales UBPD con cooperación de ONU Mujeres, y en general, avances en el relacionamiento con organizaciones como Colombia Diversa y Caribe Afirmativo. 
• Por su parte, en el Enfoque Étnico- Comunidades Afrocolombianas, este trimestre el equipo se concentró en el proceso de escritura de los Lineamientos. No obstante, se destacan dos avances: (1) la sesión con personas afrocolombianas, negras, raizales y palenqueras en el marco de la construcción del Plan Nacional de Búsqueda y (2) el último encuentro de construcción de los lineamientos en Apartadó- Urabá Antioqueño.
• En torno al Enfoque Étnico –Pueblos Indígenas, se desarrollaron: (1) la sesión con pueblos indígenas en el marco de la construcción del Plan Nacional de Búsqueda con más de 100 delegados nacionales, autoridades tradicionales y espirituales, (2) este capítulo se validó en el segundo órgano de interlocución de la UBPD con el pueblo indígena, en el que no solamente participaron organizaciones nacionales sino a nivel territorial, (3) Convenios con 5 organizaciones indígenas que evidenciaron 5 experiencias de búsqueda en la que surgieron herramientas y/o piezas audiovisuales, (4) a través de la contratación a personas de pueblos indígenas se avanzó en la construcción de insumos para el desarrollo del Censo, herramientas pedagógicas, identificación y trabajo en fosas y cementerios en territorios indígenas y experiencias de búsqueda indígena. 
• En el Enfoque de Niños, Niñas y Jóvenes, (1) se ha participado en escenarios mixtos de incidencia y articulación interinstitucional con entidades del SIVJRNR, organizaciones y organismos internacionales, (2) Se desarrollaron dos encuentros regionales en Bogotá y Medellín para la construcción participativa de los lineamientos (3) se ha fortalecido el relacionamiento con organizaciones sociales a nivel nacional y territorial defensoras de los derechos de los niños y las niñas, entre las cuales se destacan la COALICA y BENPOSTA Nación de Muchachos, con quienes se estableció un acuerdo de trabajo para el 2020 para que jóvenes desvinculados que hicieron parte de la operación Berlín aporten información sobre NNAJ dados por desaparecidos durante su pertenencia a la estructura armada
• En el Enfoque de Personas con Discapacidad, se avanzó en el relacionamiento y la articulación interinstitucional con entidades como el INSOR o los delegados del Enfoque en la Unidad para las Víctimas. 
• Por último, en el Enfoque de Personas Mayores se avanzó en: (1) Documento de mapeo de actores claves para el relacionamiento con organizaciones de Persona Mayor a nivel nacional e internacional –no solamente de víctimas, sino organizaciones especializadas en envejecimiento, (2) se desarrolló un encuentro- grupo focal con personas mayores en Bogotá.
Sin embargo, la elaboración de los cinco documentos preliminares de lineamientos no se pudo realizar a través de la consultoría del Proyecto del ICTJ- Embajada de Holanda dada la renuncia de 4 consultoras, que llevó a redistribuir entre el equipo de la DPCVED el desarrollo de la construcción participativa de los lineamientos y la elaboración de los documentos. </t>
  </si>
  <si>
    <t xml:space="preserve">Lineamientos Reencuentro Versión Final en Revisión 
Flujograma Reencuentro.
Procedimiento Reencuentro
Ayudas Memoria reuniones DPCVED-DIPL
Ayuda Memoria reunión ARN                                                                                                                                        </t>
  </si>
  <si>
    <t xml:space="preserve">Se elaboró un documento preliminar de lineamientos de reencuentros con enfoques diferenciales, género y psicosocial y se construyó el procedimiento y flujograma preliminar para la realización de los Reencuentros.  Así mismo, se logró la articulación interna con la DTIPL en el marco del “Plan Vivos”, del cual hace parte un listado inicial de personas entregadas por las FARC y que presuntamente se encuentran con vida. En el marco del proceso de construcción de los lineamientos, iniciamos el relacionamiento interinstitucional con la Agencia para la Reincorporación y Normalización - ARN, en donde se realizó una indagación preliminar sobre posibles articulaciones con dicha agencia, sin embargo, no fue posible la realización de los 4 reencuentros establecidos como meta en el plan de acción, debido a que estos no fueron solicitados por las otras dos direcciones misionales, las cuales, dentro del proceso de búsqueda, son las responsables de establecer las hipótesis de localización e identificación de las personas encontradas con vida. </t>
  </si>
  <si>
    <t>A continuación, se presentan los principales logros, acuerdos y retos identificados. Logros: conocer / valorar los procesos organizativos y las experiencias de búsqueda colectiva y avanzar en el cumplimiento de compromisos asumidos en meses anteriores. Acuerdos: avanzar en las solicitudes de búsqueda y hacer balance de la información entregada por las organizaciones. Retos: proyectar planes de trabajos realizables que puedan ser puestos en marcha en el 2020, en coordinación con los equipos territoriales.
En el marco de la estrategia de relacionamiento, de enero a diciembre de 2019, la DTPCVED se relacionó con 59 organizaciones, colectivos, movimientos y plataformas de la sociedad civil, acompañantes y de familiares presentes en Colombia y en el exterior (OCMP), a través de reuniones, acciones de fortalecimiento, diálogos iniciales colectivos, eventos y actividades conjuntas realizadas con otras direcciones misionales u oficinas de la UBPD.  Es relevante señalar que de las 59 OCMP con 22 continuó el proceso de relacionamiento o se relacionó varias veces al año. 
A partir de la estrategia de relacionamiento con OCMP, la UBPD logró visibilizarse como uno de los mecanismos del SIVJRNR, identificar aliados estratégicos, avanzar en la vinculación o incorporación de nuevas OCMP claves para los procesos de búsqueda, generar o fortalecer la confianza de las mismas hacia la entidad por los resultados demostrados y el cumplimiento de determinados compromisos, entre otros logros. 
A su vez, este proceso posibilitó que las OCMP: 1) fueran visibilizadas a nivel institucional y local como actores estratégicos para la construcción de paz y la búsqueda de personas dadas por desaparecidas en el marco y en razón del conflicto armado; 2) aportaran a la construcción de una nueva entidad que valora sus experiencias y saberes; 3) adquirieran mayores conocimientos sobre el funcionamiento del SIVJRNR, las diversas formas de desaparición en el marco del conflicto armado colombiano, las múltiples experiencias organizativas en torno a la búsqueda y las metodologías de trabajo con familiares de víctimas de desaparición; 4) obtuvieran información sobre la actuación de la UBPD circunscrita al mandato, principio de búsqueda solidaria, su carácter humanitario – extrajudicial, así como a los canales para la presentación de solicitudes de búsqueda y a los mecanismos de participación existente en la entidad tanto para las familias como para las organizaciones que buscan.
Ante este contexto, debe reconocerse que, si bien la estrategia de relacionamiento realizada por la DTPCVED con las OCMP ha generado logros e impactos favorables, estos podrían ser mayores para el 2020 si se le apuesta a su profundización y perfeccionamiento, en donde todas las direcciones misionales, oficinas y equipos territoriales se hagan copartícipes desde sus competencias y capacidades de articulación. 
Por otra parte, la DTPCVED reconoce que durante el año 2019 se presentaron dificultades a nivel interno y externo en el marco del relacionamiento con las OCMP. 
A nivel interno: a) Inexistencia de espacios de planeación y retroalimentación de la estrategia de relacionamiento de la UBPD con las OCMP, entre las direcciones misionales de la entidad, la Dirección General, la Subdirección Técnica Territorial y los Equipos Territoriales; b) inexistencia de un cronograma compartido, actualizado y en tiempo real entre la UBPD sobre los eventos o actividades que se desarrollarán mes a mes entre las OCMP y la entidad (nivel central y territorial); c) inconvenientes con el operador logístico de la UBPD en términos de puntualidad y calidad de la logística en los eventos con algunas OCMP, así como en el trato hacia las familias que las integran; se aclara que este escenario no se ha presentado en todos los casos o territorios; d) tiempos cortos para la preparación de actividades con las OCMP y con los Equipos Territoriales de la UBPD, así como para la solicitud de requerimientos logísticos y la formulación de propuestas metodológicas de trabajo; e) ausencia de claridad sobre la apuesta de la UBPD en la forma en que se van a implementar en la práctica los enfoques psicosocial, territorial, diferencial y de género, situación que está impidiendo el desarrollo armónico y eficaz de la estrategia conjunta de relacionamiento de la entidad con las OCMP; f) existencia de discursos y comprensiones diversas en las direcciones misionales, oficinas y Equipos Territoriales de la UBPD, así como en las entidades del SIVJRNR, sobre los mecanismos de participación, los contextos territoriales en donde se desenvuelven las organizaciones, y sobre lo que son y cómo se aplicarían los enfoques diferenciales y de género en las diversas actividades con las mismas.
A nivel externo: a) Existencia de diversas comprensiones en las OCMP sobre el SIVJRNR y el sistema ordinario en torno a la búsqueda de las personas dadas por desaparecidas; b) existencia de divisiones organizativas y posicionamiento de liderazgos que invisibilizan otros que pueden resultar útiles para la labor que desarrolla la UBPD; c) organizaciones que reconocen la desaparición forzada, pero, algunas, desconociendo otras formas de desaparición con ocasión del conflicto armado como el secuestro y el reclutamiento, o viceversa, lo que ha incidido en el surgimiento de conflictos y ha dificultado la construcción de agendas de actividades y el desarrollo de las convocatorias; d) existencia de tensiones en algunas organizaciones por el término de “persona dada por desaparecida”, pues lo han considerado como una forma de invisibilizar la responsabilidad del Estado, así como el posicionamiento político y el reconocimiento de la desaparición forzada.</t>
  </si>
  <si>
    <t>Se logró suscribir un convenio con la Fiscalía General de la Nación y un relacionamiento con la Registraduría Nacional para el intercambio de información. 
Se avanzó en el establecimiento del procedimiento estandarizado de trabajo con el INMLCF, así mismo, se avanzó en el relacionamiento con la UARIV y se cuenta con un borrador de convenio para suscribir con el Ministerio del Interior.</t>
  </si>
  <si>
    <t>A diciembre de 2019, la Dirección de Información ha avanzado en el registro centralizado de las solicitudes de búsqueda que ha recibido la UBPD por diferentes fuentes. A la fecha se ha logrado un cumplimiento acumulado de la meta del 88,3%, ya que se han recibido 5517 solicitudes de búsqueda, las cuales corresponden a 4.877 personas únicas. Lo anterior indica que algunas solicitudes llegaron a la UBPD por más de una vía.</t>
  </si>
  <si>
    <t>88,4% de las personas dadas por desaparecidas puestas en conocimiento de la UBPD, registradas en las herramientas de la Dirección Técnica de Información, Planeación y Localización para la Búsqueda.</t>
  </si>
  <si>
    <t>1. Documento "Propuesta metodológica para el Registro Nacional de Fosas, Cementerios Ilegales y Sepulturas"
2. Matriz Preliminar para registro de información.</t>
  </si>
  <si>
    <t xml:space="preserve">Durante 2019 se elaboró un documento de propuesta metodológica para elaborar el Registro Nacional de Fosas, Cementerios Ilegales y Sepulturas, concebido como un instrumento que contribuye a la focalización de la búsqueda, localización e identificación de los cuerpos de personas dadas por desaparecidas, y de esta manera garantizar una entrega digna a sus familiares y aliviar su sufrimiento.
Se definió una estructura preliminar para el registro de lugares que se encuentra en etapa de validación, una vez se defina la estructura definitiva se migraran los datos de lugares que han sido entregados a la fecha de manera formal. </t>
  </si>
  <si>
    <t>Con la elaboración de este documento sobre el Registro Nacional de Fosas se logró realizar una propuesta sobre el entendimiento que se tiene de este instrumento, concibiéndolo como un subsistema que hará parte del sistema de información misional de la UBPD, con el objeto de contribuir al desarrollo de las acciones humanitarias de búsqueda y localización, identificación, recuperación y entrega de personas  dadas por desaparecidas para el país, con el propósito de aliviar el sufrimiento de los familiares y/o pueblos étnicos, y así contribuir a la satisfacción de los derechos a la verdad y la reparación. 
Así mismo, la elaboración de este documento fue de gran utilidad para proponer la creación del procedimiento asociado con la construcción del registro y para orientar el desarrollo del proceso de elaboración de documentos de insumo para la formulación de proyectos conducentes a construir una base de datos con información georreferenciada sobre sitios de disposición de cuerpos en territorios indígenas.
La construcción de este registro genera una gran oportunidad para el fortalecimiento de la articulación interinstitucional, ya que considera la participación de varios actores que pueden estar involucrados tanto en la definición del registro como en la implementación de las acciones a realizar para la recopilación de la información y en la intervención de los sitios ubicados en los diferentes territorios y que tienen influencia sobre las poblaciones.
No obstante, dicha ventaja puede plantear un importante desafío, ya que requerirá, no sólo que la UBPD promueva, dirija y coordine la articulación interinstitucional, sino también, que las áreas misionales de la UBPD participen y se involucren tanto en la definición de las actividades como en la generación de los resultados del mismo. La participación de estas áreas es de capital importancia para garantizar el éxito de poder contar con una herramienta que contribuye en la búsqueda de las personas dadas por desaparecidas en razón y en el contexto del conflicto armado, pero más que esto, contribuye a dar con el paradero de estas personas y poder aliviar el sufrimiento de sus familias.</t>
  </si>
  <si>
    <t>74 Servidores públicos capacitados</t>
  </si>
  <si>
    <t>77,1% de las metas del plan de acción cumplidas</t>
  </si>
  <si>
    <r>
      <t>Inicialmente, para el año 2019 existian 71 indicadores registrados en el Plan de Acción 2019, sin embargo, mediante comité de gestión 009 del 09 de octubre de 2019, se ajustaron a 70 con el proposito de suprimir e crear indicadores que permitieran la toma de decisiones. De estos 70 indicadores, en el cuarto trimestre de 2019 se cuenta con</t>
    </r>
    <r>
      <rPr>
        <sz val="9"/>
        <color theme="1"/>
        <rFont val="Arial Narrow"/>
        <family val="2"/>
      </rPr>
      <t xml:space="preserve"> 62 </t>
    </r>
    <r>
      <rPr>
        <sz val="9"/>
        <rFont val="Arial Narrow"/>
        <family val="2"/>
      </rPr>
      <t>indicadores con metas programadas mayores a cero, generando entonces una meta de este indicador para el segundo trimestre de 88,6%. Durante el trimestre se dio cumplimiento con nivel «óptimo», «adecuado» y «subestimado» a 54 de ellos. Por lo anterior, se genera el cálculo de este indicador tomando los 54 indicadores sobre los 70 inscritos en el Plan de Acción 2019 con un resultado del 77,1%. Por lo anterior, se calcula el avance cuantitativo así: =((62/70)/(54/70))= (88,6%)/(77,1%)= 87,1%, dejando el indicador en nivel adecuado de cumplimiento
Existen 16 indicadores con lectura por fuera de cumplimiento, (10) en nivel crítico y (6) en nivel riesgo</t>
    </r>
  </si>
  <si>
    <t>1. Matriz de seguimiento al Plan de Acción 2019 con fecha corte 31 de diciembre de 2019
2. Informe de seguimiento del plan de acción cuarto trimestre 2019</t>
  </si>
  <si>
    <t>Durante el cuarto trimestre de 2019, se presentaron, gestionaron y aprobaron los siguientes proyectos de cooperación internacional para apoyo a la UBPD
1. USAID – OIM: Ficha 1424, con el objeto de Fortalecer la Línea Estratégica de Pedagogía de la UBPD.
2. USAID – OIM Ficha 1416 Planeación estratégica de la UBPD con enfoque territorial y adaptativo 
3. Diakonia Suecia y Pastoral Socia: Con el objeto de apoyar a la UBPD para la sistematización de la conceptualización sobre el enfoque humanitario y extrajudicial desde lo comunitario se firmó Convenio entre Diakonía Suecia como cooperante y Pastoral Social como implementador.</t>
  </si>
  <si>
    <t>Durante el 14 de diciembre se realizó gira en las ciudades de Mérida, Cáceres y Madrid (España), para sostener reuniones con la Agencia Extremeña de Cooperación al Desarrollo AEXCID y la Agencia Española de Cooperación Internacional al Desarrollo -AECID- en las que se consideraron posibles apoyos para UBPD en 2020. Se participó igualmente en las sesiones de negociación de la cooperación para Colombia con el gobierno Alemán y se otorgó mediante acuerdo con el DNP y el Banco Alemán KfW en el mes de octubre, subvención para una consultoría cuyo objeto es el fortalecimiento de los procesos de participación de la sociedad civil en la UBPD como mecanismo de justicia transicional, teniendo en cuenta el enfoque diferencial, de género y territorial.  Quedaron en proceso de revisiones y firmas de la Dirección General el Convenio con la Fundación Carter y con la ICMP que se firmarán en el mes de enero de 2020.</t>
  </si>
  <si>
    <t>Se detectaron de manera oportuna retrasos en la ejecución de los proyectos e implementaron medidas de ajuste (redistribución o ampliación de tiempo). Hay dificultad en el suministro oportuno de la información de ejecución por parte de los cooperantes que requirió el establecimiento de acuerdos de envío de información financiera y el desarrollo de mesas de seguimiento mensuales.</t>
  </si>
  <si>
    <t xml:space="preserve">Durante el trimestre se presentaron informes narrativos de avance ante la OIM y Chemonics de los proyectos financiados por la USAID,  y se realizaron mesas de seguimiento con las dependencias responsables de la implementación de los proyectos. Se realizaron reuniones para revisión de las alarmas arrojadas de los proyectos Embj. de Holanda administrado por la ICTJ y el proyecto MPTF administrado por el PNUD, bajo los cuáles se acordó la realización de ajustes a marco lógico y reprogramación de actividades en 2020. Se consolidó la información financiera a corte 30 de noviembre de 2019 otorgada por los donantes, que arroja una ejecución total de los proyectos del 91,09%. </t>
  </si>
  <si>
    <t>HITO 1: Estado del arte sobre la desaparición de personas en contextos de conflictos armados y violencia sociopolítica: Se realizó un documento que da cuenta del avance documental en la recolección, organización y categorización de la información y de los principales debates encontrados en la literatura académica y no académica revisada. 
HITO 2: Dinámicas y lógicas de las violaciones a los DDHH asociadas a la desaparición de personas en el contexto y en razón del conflicto armado en Colombia: se realizó un documento que constituye la mirada general de las dinámicas territoriales y temporales de la desaparición de personas a partir del análisis de fuentes cuantitativas y cualitativas. 
HITO 3: Metodologías de los procesos de búsqueda de las personas desaparecidas en contextos de violencia sociopolítica a nivel internacional: se elaboró un documento que muestra el análisis de los casos de la búsqueda de personas desaparecidas en Chipre y Sri Lanka en razón. Se escogió estudiar estos dos países en razón a que corresponden a experiencias institucionales de búsqueda humanitaria y extrajudicial de personas desaparecidas y cuyos resultados en materia de personas identificadas y entregadas a sus seres queridos son reconocidos internacionalmente. Consideramos que el conocimiento de los estudios puede aportar al diseño de metodologías de búsqueda de la UBPD.
HITO 4: Formulación de proyecto análisis de los impactos de los procesos de búsqueda. Se realizo la formulación del proyecto sobre los Impactos Socioeconómicos del proceso de Búsqueda de Personas dadas por Desaparecidas en Contexto y en Razón del Conflicto Armado
HITO 5: Apoyos puntuales:
*Evaluación para la Dirección de Participación, Contacto con las Víctimas y Enfoques Diferenciales (DPCVED):  Se trabajó con esta dirección para construir una propuesta definitiva que recogiera integralmente las necesidades y oportunidades de un ejercicio evaluativo acerca de cómo se está abordando el trabajo con las personas que buscan. Se acordó que en el 2019  se iba a desarrollar una primera parte que incluyó la revisión documental y la evaluación de los instrumentos frente a objetivos y que la segunda parte de la evaluación se desarrollaría en el primer bimestre de 2020  con la participación del equipo incluyendo el nivel central y una delegación de los equipos territoriales. 
Como resultado de esta primera parte de la evaluación: i) Se destaca el esfuerzo realizado por el equipo para construir una visión filosófica y humanista de la participación de las personas que buscan, así como una metodología y técnica de trabajo para impulsarla y registrarla; ii)Se identifica la necesidad de armonizar conceptos y rutas de trabajo incluidas en la documentación producida de tal manera que sirva como soporte principal y legítimo a todas las personas –tanto en Bogotá como en cada Oficina Territorial- que tienen un rol de asesorar, apoyar y fortalecer y, iii) no menos importante, incluir la perspectiva de las restantes direcciones misionales para fortalecer visiones compartidas sobre el proceso de búsqueda que reflejen en elaboraciones con valor y nivel institucional (más que de equipo) e incorporar la visión de equipo. 
* Apoyo asesor de incidencia: se apoyó en la redacción de un documento que tiene como objeto ohesionar, unificar, y homogenizar, la perspectiva sobre el carácter, el sentido y la acción de la UBPD, explicando a profundidad lo que significa e implica la búsqueda de las personas dadas por desaparecidas para la construcción de paz y reconciliación en Colombia. Lo anterior en el contexto del proceso de Justicia Transicional que se quiere implementar en el país a partir del acuerdo de paz de la Habana.  Se esperaría que este documento sirva de herramienta de trabajo multiuso, el cual pueda tener, entre otros fines: i) servir de insumo pedagógico interno; ii) brindar claridades para el relacionamiento con los familiares, las entidades del Estado y la sociedad; iii) ser insumo para la construcción de papeles para la incidencia política, pública y periodística; iv) servir para la construcción de otros subproductos como cartillas, manuales, etc. Vale la pena señalar que su carácter vivo estaría no solamente en la inclusión de la riqueza de la interdisciplinariedad de los equipos de trabajo de la UBPD que participarían en su construcción, sino en su actualización periódica, recogiendo los resultados y aprendizajes que vaya obteniendo la entidad en sus años de funcionamiento.</t>
  </si>
  <si>
    <t>Logros: definición de conceptos, principios y modelos de conocimiento y gestión del conocimiento. Construcción de la estrategia de Gestión del Conocimiento dentro del plan de acción estratégica de la UBPD. Limitaciones: escasa disponibilidad de tiempo de las áreas para compartir información y escases de tiempo y recurso humano para la socialización de la estrategia</t>
  </si>
  <si>
    <t>1. Comunicación y pedagogía:
* Aporte metodológico a la OACP para la construcción de saberes:  6 informes de sistematización
2. Insumos política de cuidado: 
* Estrategia de Cuidado y Autocuidado: se anexan las actas de las reuniones y los documentos comentados.
* Estrategia de Comunicación para la Paz: se anexa documento trabajado con la Subdirección de Gestión Humana y enviado a la Directora General para su valoración. 
* Estrategia de Prevención y Protección: el documento "Identificación de riesgos, amenazas y vulnerabilidades de la Unidad de Búsqueda de Personas dadas por Desaparecidas"  es de carácter confidencial por lo que no es posible adjuntarlo. Como evidencia se deja constancia que el documento comentado se encuentra ubicado en la ruta G:\Unidades compartidas\Gestión de conocimiento\0. 2019\006 Herramientas\8. Comunicación, cuidado y seguridad\3. Cuarto trimestre\Estrategia de prevención, protección y seguridad.
3. Centro de documentación: Se adjunta archivo con la sistematización
4. Diseño del glosario ampliado y mapa ontológico: se anexa documento
5. Intercambios en ejecución: Se anexan agenda de la actividad y la relatoría reunión FAFG.  Relatoría reunión centro Carter y evaluación capacitacion de ICMP.
6. Memoria institucional: documento con la memoria institucional.
7. Diseño y construcción de contenidos de capacitación: se anexan Documento con el plan estratégico de capacitación; Avances del plan de capacitación y Agenda y presentaciones de la jornada de inducción del último trimestre.</t>
  </si>
  <si>
    <t>1. Comunicación y pedagogía:
* Aporte metodológico a la OACP para la construcción de saberes: la OGC apoyó el desarrollo de la Estrategia Círculo de Saberes de la OACP, incluida en el plan anual de la misma. El equipo participó en seis (6) encuentros regionales (Villavicencio, Puerto Asís, Sincelejo, Apartadó, San José de Apartadó y Montería) los que tenían como objetivo motivar y apoyar a personas que buscan y actores aliados en la construcción de historias colectivas de búsqueda que contribuyan a sensibilizar a la sociedad sobre la importancia de buscar a las personas desaparecidas. El equipo de la OGC documentó los encuentros regionales centrándose en registrar las historias de búsqueda de quienes participaron e identificando elementos comunes en todas ellas. Así mismo, identificó elementos de la metodología que facilitaron y limitaron la consecución de los objetivos. Sin dejar de mencionar otras variables (como participación de los equipos territoriales, características de participantes y relación con la institucionalidad, abordaje del tema de prevención y protección, conocimiento previo de la UBPD) que influenciaron el ejercicio previamente y en su desarrollo.
2. Insumos política de cuidado: 
* Estrategia de Cuidado y Autocuidado: se apoyó a la Subdirección de Gestión Humana en la revisión de contenidos del curso virtual en lo referente a riesgos físicos, biomecánicos, químicos, biológicos y condiciones de seguridad y frente a los  riesgos Psicosociales.
* Estrategia de Comunicación para la Paz: conjuntamente con la Subdirección de Gestión Humana, se preparó un informe evaluativo sobre  la Estrategia de Comunicación para Paz. El mismo concluye que los resultados del trabajo realizado por las consultoras contratadas en su momento fueron positivos porque contribuyó, por un lado, a mejorar las relaciones entre el personal. Y, por otro, a instalar capacidades para la gestión de conflictos, pero que no se ven. Derivado de lo anterior, la OGC diseño una estrategia para fortalecer y expandir los resultados tanto en el nivel central como territorial (a donde la estrategia no ha llegado). 
*Estrategia de Prevención y Protección. En el periodo que se reporta, la OGC comentó el documento "Identificación de riesgos, amenazas y vulnerabilidades de la Unidad de Búsqueda de Personas dadas por Desaparecidas" realizados por consultores.
3. Centro de documentación: Durante este periodo se continuó la consolidación del centro documental recibiendo y sistematizando 26 archivos físicos para un total de 302 archivos.
4. Diseño del glosario ampliado y mapa ontológico: se avanzó en la revisión de los documentos preliminares producidos por la UBPD y en la identificación de los conceptos que requieren la jerarquización, comprensión y aprehensión.
5. Intercambios en ejecución:
a. Con la Fundación de Antropología Forense (FAFG): se realizaron las siguientes actividades: a). Una mesa técnica con el Equipo de Prospección, Recuperación e Identificación en la cual se revisaron los documentos que soportan los procesos y procedimientos de su trabajo, lo que se hizo conjuntamente con una delegación de la Oficina Asesora de Planeación. El equipo de esta Dirección recibió aportes de la FAFG y la OGC para considerar escenarios de trabajo en campo y en articulación con otras entidades enfatizando la integralidad del proceso de búsqueda y la necesidad fortalecer una visión compartida con las demás direcciones misionales. De otro lado, se presentó con detalle la problemática de cementerios y avances y desafíos del proyecto “Impulso al proceso de identificación de los cadáveres en condición de no identificados en Colombia”. 
Dos visitas de la UBPD a Guatemala en las que participaron delegaciones de las tres direcciones misionales, la Oficina Asesora de Comunicaciones y Pedagogía, y la Oficina de Gestión de Conocimiento. Todavía se está compilando información de retroalimentación sobre esta actividad por lo que no es posible registrar resultados concluyentes. Sin embargo, se destaca la pertinencia de conocer otras experiencias in situ y con años de implementación para contrastar en presente y prospectivamente metodologías de trabajo y enfoques. Como soporte documental se anexa la agenda de las visitas y un informe de compilación parcial.
b. Centro Carter:  En el periodo que se reporta se han recibido dos informes de investigación que han sido comentados y discutidos entre las partes. Como soporte documental se adjunta un acta de reunión. Un documento completamente aprobado por la OGC y la Dirección General se tendrá estará listo para el reporte del primer trimestre de 2020.
c. ICMP: se dio inicio al plan de capacitación acordado con ICMP enfocado en capacitación para la búsqueda en escenarios complejos y el manejo de sistemas de información y datos y seguridad de la información, se generó un cronograma para el desarrollo de la misma en la que en el último trimestre su mayoría a partir del 2020.  Se coordinó con las demás entidades del sistema una sesión de presentación dirigida a las servidoras y servidores de la UBPD. Se realizó la primera jornada de capacitación durante tres días a la que asistieron 14 personas de las Direcciones técnicas Prospección, Recuperación e Identificación, la Dirección Técnica de Información, Planeación y Localización para la Búsqueda, la Oficina de Tecnologías de la Información y Comunicaciones y la Oficina de Gestión del Conocimiento. Se realizó una evaluación de la capacitación. 
En el tema de lugares de disposición se realizaron dos reuniones; una con el Ministerio del interior para tener acceso a la información recopilada por ellos y otra con la policía nacional para conocer sobre el sistema de preservación de cuerpos que ellos manejan. 
6. Memoria institucional: se avanzó en la redacción del documento de la memoria institucional de la UBPD versión 2018.
7. Diseño y construcción de contenidos de capacitación. 
*Plan institucional de capacitación: mantuvo el desarrollo de actividades en el marco del convenio 015 e 2019 suscrito con la Universidad Nacional de Colombia
*Plan estratégico de capacitación a largo plazo: se construyó una estrategia de capacitación que orientará el PIC durante el 2020 a partir de la identificación de necesidades de fortalecimiento de los equipos de la Unidad de Búsqueda
*La semana del 25 al 29 de noviembre se realizó la segunda jornada de inducción a los equipos territoriales</t>
  </si>
  <si>
    <t>El Logró dar cumplimiento del indicador, puesto que los activos se lograron asegurar en una primera fase, se continuará con el fortalecimiento de la seguridad a fin de mitigar los riesgos.
La dificultad se dio al no tener una política de seguridad informática aprobada por la dirección, lo que en algunos casos no permitió la ejecución de todas las tareas de aseguramiento.</t>
  </si>
  <si>
    <t>Informes de disponibilidad y medición del indicador.
Nota: El informe final que soporta el cumplimiento del indicador será entregado por el proveedor de servicios en la segunda semana de enero 2020 una vez haya cumplido con los ciclos de revisión y aprobación por parte del supervisor.
Evidencias: https://drive.google.com/drive/folders/1h5XpLvxRQ1nqJxR9-oc0pPt6sHmtneeN</t>
  </si>
  <si>
    <t>La evidencia se encuentra en la ruta: https://drive.google.com/drive/folders/1iSThXG3I566KQIuAJyayJAjpKhbX35kU</t>
  </si>
  <si>
    <t xml:space="preserve"> Octubre: Socialización. La evidencia se encuentra en la ruta: https://drive.google.com/drive/folders/1Op0D-Ev2NVQuALOFZcqlkpOR3caq7Lk2
Ajustes procedimientos. La evidencia se encuentra en la ruta: https://drive.google.com/drive/folders/1VnmFweFuYRzjyBKxhoYIXFP7Lok13JRf
Noviembre: Procedimientos aprobados para firmas.  La evidencia se encuentra en la carpeta: https://drive.google.com/drive/folders/1WLEwaHWvmoVpq1SY8VKZ8IzcqIS64_dl
- solicitud de publicación de procedimientos. La evidencia se encuentra en la ruta https://drive.google.com/drive/folders/1WLEwaHWvmoVpq1SY8VKZ8IzcqIS64_dl
- Procedimientos publicados en el sistema de Gestión. La ruta de acceso a la evidencia se encuentra en: https://drive.google.com/drive/folders/1GKtL0SkV4hWSpcFAv8gwkIX_38r0DqQ6</t>
  </si>
  <si>
    <t xml:space="preserve">Para el periodo comprendido entre el 01/10/2019 y 31/12/2019 no hay cambios en el indicador. Lo anterior debido, a que esta actividad ya fue completada al 100% con anterioridad. Las pruebas de concepto ya fueron realizadas con las herramientas de software OCR y Architecture, Engineering and construction collection. 
Sin embargo, Para el periodo comprendido entre el 01/10/2019 y 31/12/2019 se reporta el siguiente avance cualitativo con el ánimo de informar los avances relacionados con la adquisición del software seleccionado; Actividades contractuales realizadas y las distintas actividades de implementación fueron realizadas: 
1- Se instaló las herramientas autocad basico, Civil 3D, Map 3D, Revit, Infraworks y Recap Pro en los equipos de los usuarios. 
2-Se terminó y culminó la actividad de transferencia de conocimiento a los usuarios de la UBPD en las herramientas de software anteriormente mencionadas. 
3. Se tramitó y gestionó tres (3) pagos establecidos en el contrato.
4. Se da por terminada la ejecución contractual </t>
  </si>
  <si>
    <t xml:space="preserve">ESTRATEGIA CÍRCULO DE SABERES (12): 1. Villavicencio Fase III. 2. Villavicencio Fase IV 3. Apartadó Fase III 4. Apartadó Fase IV 5. Córdoba Fase III 6. Córdoba Fase IV 7. Puerto Asís Fase III 8, Puerto Asís Fase IV 9. San José Apartadó Fase III 10. San José Apartadó Fase IV 11. Sincelejo Fase III 12. Sincelejo Fase IV.  
PIEZAS IMPRESAS (3): 1. ABC de bolsillo 2. Afiche 3. Plegable acceso al mecanismo.
ESTRATEGIA DIGITAL (1): Reporte estrategia 4to trimestre.
CAMPAÑA SENSIBILIZACIÓN Y MOVILIZACIÓN (20): 6 mensajes institucionales para televisión; 8 Capítulos de Serie documental "La Búsqueda es Contigo"; 6 programas radiales.   
OTROS (13): 1. Video "Avanza la Unidad de Búsqueda"; 6 videos pedagógicos animados (1. Video ABC; 
2. Video Identificación; 3. Video Información; 4. Video Participación; 5. Video Prospección; 6. Video Recuperación); 6 desarrollos pedagógicos con las áreas misionales (1. KIT diálogos colectivos; 2. Rompecabezas sobre las fases de la búsqueda; 3. Juego Lotería; 4. Juego Entre comadres; 5. Presentación Fases Indígenas; 6. Presentaciones prospección, identificación y recuperación) </t>
  </si>
  <si>
    <t xml:space="preserve">* La estrategia Círculo de Saberes Creativos finalizó con 17 producciones artísticas y culturales que fueron presentadas al público en un encuentro con los familiares participantes denominado "Buscarte" el cual fue transmitido por el Canal Institucional. Las producciones fueron transmitidas posteriormente por este mismo Canal y además fueron compartidas a través de Colombia 2020. La estrategia sirvió como un reconocimiento y dignificación a las historias de búsqueda de los familiares lo cual tienen un sentido reparador para su proceso. 
* De la mano de las áreas misionales y la Dirección General se lograron construir diferentes piezas o desarrollos pedagógicos que sirven para garantizar una participación informada por parte de los familiares en el proceso de búsqueda y así facilitar el acceso al mecanismo.    
* En el marco de la Estrategia de Sensibilización y Movilización en Radio y Televisión, nacional y digital, se emitieron los programas de radio que fueron construidos de forma pedagógica para explicar las diferentes acciones humanitarias de búsqueda que adelanta la UBPD. Con el programa de televisión se lograron evidenciar los diferentes elementos que implica la búsqueda de los familiares contados desde su propia voz. Los mensajes institucionales logran explicar de una manera distinta y simple los diferentes elementos de la búsqueda como qué es la UBPD, el carácter humanitaria y extrajudicial, la confidecialidad y a quiénes busca la UBPD. 
* Se avanzó en la publicación de la información mínima requerida de la UBPD de acuerdo con los estándares de la Ley de Transparencia y Acceso a la Información.  
Avances de las actividades o acciones claves: se definió trasladar la construcción de la Política Institucional de Comunicaciones y Pedagogía para el 2020, a fin de alinearla a los objetivos definidos en la Planeación Estratégica para esta vigencia. Se avanzó en la elaboración de la Estrategia de Rendición de Cuentas de acuerdo con los estándares de transparencia. Se gestionó, publicó y divulgó la información mínima requerida de la Entidad de acuerdo a los estándares de Transparencia y Acceso a la Información, de acuerdo con el Índice de Transparencia y Acceso a la Información, el cual se logró en un 70%. Se construyó y elaboró la estrategia de Pedagogía y Comunicación Digital a través de las redes sociales y la página web. No se avanzó en la realización de estrategias que incidan en la movilización de líderes de opinión, políticos y personajes públicos, alrededor de la búsqueda de desaparecidos, por lo que esta actividad se programó nuevamente para el 2020. Se realizó el monitoreo y análisis del impacto de las acciones de pedagogía y comunicación estratégica en medios y en redes sociales mediante un contrato con una empresa experta en el tema. </t>
  </si>
  <si>
    <t>Finalmente, el indicador presentó resultados adecuados conforme al resumen general de la medición. A pesar de situarse en los 2 anteriores trimestres en niveles de riesgo para su cumplimiento, se evidencia que las dependencias trabajaron de manera mancomunada para garantizar en gran parte el cumplimiento de las actividades e indicadores proyectados.</t>
  </si>
  <si>
    <t>1. Borrador de convenio con el Ministerio del Interior
2. Correo con invitación a la UARIV para concertar el proceso del "Establecimiento del estado del proceso de Búsqueda, del que hizo parte activa la UARIV"
3. Correo Invitación reunión lugares de disposición Min Interior</t>
  </si>
  <si>
    <t>Se adjunta Protocolo para el intercambio de información con la CEV</t>
  </si>
  <si>
    <t>Se entregó a la Dirección General el protocolo para el intercambio de información entre la UBPD y  la CEV</t>
  </si>
  <si>
    <t xml:space="preserve">Entre octubre y diciembre de 2019, la DTPCVED inició relacionamiento con ocho (8) organizaciones, colectivos, movimientos y plataformas de la sociedad civil, acompañantes y de familiares, a través de una reunión y un evento, a las que asistieron 70 personas. A continuación, sus nombres: AINI Fuente Primavera de Flores - Concejo Comunitario de Río Naya, Asociación Nacional de Mujeres Campesinas, Negras e Indígenas de Colombia - ANMUCIC -, Mujeres Cafeteras, Mujer Rural, Concejo de Mujeres, Asociación de Mujeres Víctimas del Conflicto Altamirarte, Mujeres Lideresas - Red de Mujeres Asoagrofrutal - y Nuevo Horizonte FARC Huila. Por su parte, continuó relacionándose con cinco (5) OCMP en el marco de seis actividades a las que asistieron 107 personas: dos reuniones, una acción de fortalecimiento colectivo y tres diálogos iniciales colectivos (uno de ellos como actividad conjunta con otras direcciones misionales de la UBPD). Las OCMP son: Familiares Colombia por el Apoyo Mutuo, Fondo de Solidaridad con los Jueces Colombianos – FASOL -, Asociación de Familiares Desaparecidos en el Conflicto Armado en el Pacífico – AFDEPAC -, Revicpaz LAC Chile – OCORCH y "Asociación de Familiares Secuestrados y Desaparecidos Los que Faltan". 
En resumen, la DTPCVED se relacionó el cuarto trimestre con 13 OCMP, de las cuales 8 fueron por primera vez, en el marco de 8 actividades, a las que asistieron 177 personas. </t>
  </si>
  <si>
    <t>1. Citación a Reunión de seguimiento contractual y presupuestal 21_10_2019
2. Citación y acta de reunión seguimiento a indicadores de plan de acción los días 6 y 17 de diciembre de 2019 Dirección de información y Dirección de Participación respectivamente.
3. Acta de Reunión de seguimiento a indicadores de plan de acción el día 26 diciembre de 2019, Dirección de Prospección.
4. Herramienta de seguimiento contractual y presupuestal
5. cuadro de seguimiento a comisiones
6. Matriz de seguimiento Opera Log</t>
  </si>
  <si>
    <t>Aunque no se consideró como una dificultad, sino como un elemento enriquecedor de la participación, los enfoques territorial, diferencial y de género, fue la misma diversidad de los actores y organizaciones con quiénes se construiría de forma participativa el PNB, es decir, hubo momentos con un componente de complejidad, en la medida que no se podría construir una metodología “estándar” para todos los participantes, sino cada una teniendo en cuenta las particularidades de cada población o grupo. Un ejemplo de ello, es que la metodología de construcción participativa del PNB con Pueblos Indígenas no podría ser igual a la de la Población LGBTI o a la de los Familiares en el Exilio, ya que los primeros tienen una cosmogonía que no es necesariamente igual a la de la población mayoritaria.
Tales elementos enriquecedores permiten que la estructura y el mismo desarrollo del PNB, permita garantizar que en las labores de búsqueda sean llevadas a cabo manteniendo los enfoques territorial, diferencial y de género.</t>
  </si>
  <si>
    <t>Se adjunta documento "Criterios para evaluar los Planes Regionales de Búsqueda"</t>
  </si>
  <si>
    <t>Desde la Dirección de Información, Planeación y localización se adelantaron y consolidaron durante la vigencia 2019, ocho (8) Planes Regionales de Búsqueda en fase de localización relacionados a continuación:
1. Plan Regional de Búsqueda Alto Atrato y San Juan, Chocó (Gisela Restrepo y 33 personas más)
2. Plan Regional de Búsqueda San Juanito, Meta (Esposos Ángulo Castañeda)
3. Plan Regional de Búsqueda San Carlos de Guaroa, Meta (José Antonio Cruz Castro y otras personas más)
4. Plan Regional de BúsquedaCementerio de Facatativá, Cundinamarca (Carlos Victor Ortega Chicunque)
5. Plan Regional de Búsqueda Tumaco (Zona Río Mira-Mataje), Nariño (Jesús María Cuellar Aroca y otros)
6. Plan Regional de Búsqueda Cementerio de Curumaní, Cesar (Pedro Baigorri Apezteguia y otros)
7. Plan Regional de Búsqueda La Montañita, Caquetá (Reinel Guevara)
8. Plan Regional de Búsqueda Puerto Nuevo, Nueva Loja, Ecuador (Eder Hassan Villate Fierro)</t>
  </si>
  <si>
    <t>De 80 encuentros con entidades e instituciones en el territorio, con al menos 62 se inició un contacto de relacionamiento en el cuarto trimestre, así las cosas, es importante destacar estos espacios permitieron a la UBPD generar confianza y credibilidad con los distintos actores relevantes en los territorios, con el fin de apoyar, explorar y fortalecer la coordinación interinstitucional (oficial y de sociedad civil) en los territorios, que facilite el desarrollo del proceso de búsqueda humanitaria y extrajudicial que debe liderar la UBPD, además de Apoyar, fortalecer y generar las condiciones de relacionamiento con la JEP y la CEV, que favorezca la integralidad de la respuesta a las víctimas, del Sistema de Verdad, Justicia, Reparación y No Repetición, en el territorio.</t>
  </si>
  <si>
    <t>Durante los diálogos se conocieron necesidades centrales de los familiares y personas que buscan relacionadas con vincular al proceso a otros integrantes de la familia y conversar sobre el silencio que, en ocasiones, han mantenido como grupo familiar frente a la desaparición de su ser querido, generado por: la intención de salvaguardar la seguridad familiar (principalmente de niños, niñas y jóvenes), existencia de distanciamientos familiares, imposibilidad de contar lo que pasó dado lo doloroso del hecho, desconfianza en la institucionalidad, temor a la estigmatización y a entregar información falsa o incompleta sobre la desaparición, entre otras razones. Producto de lo anterior, se generaron insumos para la creación de metodologías y conocimientos técnico - científicos para la búsqueda humanitaria y extrajudicial de las personas dadas por desaparecidas, fortaleciendo las condiciones de participación de familiares, organizaciones y otros, desde el conocimiento y reconocimiento de cada experiencia de búsqueda.</t>
  </si>
  <si>
    <t>Dentro de los principales logros, estos espacios colectivos permitieron identificar, por un lado, elementos de orden técnico y procedimental como la necesidad de: conocer lo acaecido con su ser querido, acceder a la justicia, al Registro Único de Víctimas (RUV) y a la reparación administrativa e indemnización, a la vez comprender procesos como el de recuperación e identificación de cuerpos, los cuales implican en algunos casos la coordinación y articulación con otras entidades competentes; y, por otro, elementos asociados a los ámbitos relacional y emocional, por ejemplo: cómo tramitar la desaparición dentro del grupo familiar y lo que ha implicado la búsqueda en sus vidas, los liderazgos asumidos principalmente por mujeres y personas mayores en el proceso de búsqueda de sus seres queridos, el relevo generacional en el mismo, y finalmente cómo la búsqueda misma se convierte en un proceso reparador, dado que conlleva a transformar la condición de víctimas [de las familias] hacia la de sujetos políticos en su relación con el Estado, a reconocer por parte de una institución estatal [UBPD] los procesos de búsqueda y los aprendizajes adelantados por las propias familias, y, finalmente, a dignificar la memoria de la persona dada por desaparecida.</t>
  </si>
  <si>
    <t>Se cuenta con documentos soporte confidenciales de cada plan, así:
1. Plan Regional de Búsqueda Alto Atrato y San Juan, Choco.
2. Plan Regional de Búsqueda San Juanito, Meta
3. Plan Regional de Búsqueda San Carlos de Guaroa, Meta
4. Plan Regional de Búsqueda Cementerio de Facatativa, Cundinamarca
5. Plan Regional de Búsqueda Tumaco (Zona Río Mira-Mataje), Nariño
6. Plan Regional de Búsqueda Cementerio de Curumaní, Cesar
7. Plan Regional de Búsqueda La Montañita, Caqueta
8. Plan Regional de Búsqueda Puerto Nuevo, Nueva Loja, Ecuador</t>
  </si>
  <si>
    <t>62 encuentros con entidades e instituciones que conocen el trabajo de la UBPD y con las que se inicia un contacto de relacionamiento en el territorio</t>
  </si>
  <si>
    <t>Durante el cuarto trimestre la DPCVED ha asesorado, orientado y fortalecido a 360 personas. Las mismas corresponden a 254 diálogos iniciales con la participación de 303 personas, 28 diálogos para ampliar la información - de documentación- con la participación de 26  personas, 79 acciones de orientación, asesoría y fortalecimiento con la participación de 24 personas,  y 6 diálogos de implementación de acciones humanitarias con la participación de 7 personas.
De los 254 diálogos iniciales, 214 de estos con la participación de 260 personas fueron realizados por el equipo territorial, según reporte de la Dirección de Información, Planeación y Localización -DIPL. Sin embargo, la DIPL, advierte que dicho reporte se encuentra en proceso de migración y verificación con la base de registro unificada, proceso que es dispendioso, por lo que no se podría tomar como cifra final o definitiva.
Frente a las actividades planteadas para el cumplimiento del indicador: Se cuenta con documento versión final en revisión de los Lineamientos de Participación que cuenta con las orientaciones conceptuales y metodológicas del proceso, Para la definición de contenidos para la elaboración de piezas comunicativas y material pedagógico para el proceso de participación, se realizaron los guiones metodológicos del rompecabezas para socializar y comunicar las fases de búsqueda a familiares, allegados, comunidades y organizaciones; rompecabezas didáctico con el fin de que las personas puedan conocer el proceso de búsqueda en la UBPD e identificar a partir de sus experiencias en donde se encuentran y cómo será su proceso de participación, lotería de la participación con la cual se pretende apropiar las características del mandato de la UBPD; Ejercicio “Humanitario” y “Judicial”, el cual permite comprender los conceptos del carácter humanitario y judicial de la UBPD, fichas para socializar el SIVJRNR y el Mandato de la UBPD; fichas para socializar los principios del protocolo de relacionamiento con pueblos y comunidades indígenas.  
En conjunto con la oficina de gestión del conocimiento se acordó una primera fase de la evaluación del proceso de participación, del cual ya se cuenta con un primer informe de evaluación. 
Finalmente, frente al proceso de participación de familiares en el exilio, se tuvieron encuentros de relacionamiento con familiares de personas dadas por desaparecidas realizadas en las ciudades de Santiago (Chile) y Buenos Aires (Argentina). Familiares que residen en estos países en calidad de exiliados emigrantes y quienes han presentado o están interesados en presentar sus solicitudes de búsqueda a la UBPD. En los mismos, de manera general y principal, se generó un escenario de confianza y diálogo alrededor de las expectativas, necesidades de las familias y desafíos de su participación en la búsqueda de sus seres queridos desde el exilio, se presentó la metodología del proceso de búsqueda humanitaria en la UBPD, sus fines, y en qué consiste cada fase o momento, enfatizando en la participación de los familiares o allegados y su rol, acorde a las necesidades propias del exilio visto como un territorio (identidades y pertenencias que conlleven a la construcción del concepto de territorio), y se identificaron insumos que contribuyen a la realización del mapeo e identificación de las familias en situación de exiliadas en el Cono Sur , refugiadas e inmigrantes que tienen personas dadas por desaparecidas en Colombia.</t>
  </si>
  <si>
    <t>La Oficina de Control Interno realizó seguimiento al Estado del Sistema de Control Interno de acuerdo a la matriz de autodiagnóstico de la Política de Control Interno con fecha de corte 01 de agosto de 30 noviembre de 2019,este informe fue radicado al Representante Legal y a los miembros del Comité Institucional de Coordinación de Control Interno mediante el memorando N.100-3-201902666 de fecha 19 de diciembre de 2019</t>
  </si>
  <si>
    <t>1. Informe Pormenorizado del Sistema de Control Interno con fecha de corte 01 de agosto de 30 noviembre de 2019, el cual se encuentra publicado en la página web de la UBPD en el Link de transparencia en el siguiente link:https://www.ubpdbusquedadesaparecidos.co/wp-content/uploads/2019/12/Informe-Pormenroizado-01-de-agosto-30de-noviembre.pdf.
2. Memorando N.100-3-201902666 de fecha 19 de diciembre de 2019.</t>
  </si>
  <si>
    <t>En cumplimiento al programa anual de auditorías y seguimientos 2019, la Oficina de Control Interno realizó dos (2) auditorías  y seguimiento al plan de mejoramiento producto de las auditorias como se describe a continuación:
1.Auditoría al proceso de Gestión Contractual 
2.Auditoría al proceso de almacén e inventarios.
3.Seguimiento al plan de mejoramiento el cual se  encuentran publicado en la página web de la UBPD en el link de transparencia en la ruta: :https://www.ubpdbusquedadesaparecidos.co/wp-content/uploads/2019/11/seguimiento-4-y-5-seguimiento-del-plan-de-mejoramiento-Auditor%C3%ADa-Interna-Proceso-de-vinculaci%C3%B3n.xls.</t>
  </si>
  <si>
    <t>Este indicador permitió hacer un seguimiento a los avances en la gestión de apoyo a labor misional de la UBPD, en tal sentido, permitió conocer el desarrollo de procesos contractuales, el avance y las dificultades para el cumplimiento de los objetivos de la SGTT. 
Se presentaron dificultades para estandarizar las herramientas de seguimiento para las 3 Direcciones Misionales.</t>
  </si>
  <si>
    <t>El principal logro fue la conformación de los 17 equipos territoriales y de 5 de los 6 satélites previstos para 2019. Así mismo, se logró avanzar en el arrendamiento y adecuación de 14 de las 17 sedes territoriales. La mayor dificutad fue la búsqueda de hojas de vida que cumplieran con los requerimientos solicitados por la entidad.</t>
  </si>
  <si>
    <t>La Subdirección General Técnica y Territorial redactó el 50% de los lineamientos del enfoque territorial de la UBPD donde se recogió el proceso participativo de construcción de los mismos con los equipos territoriales.</t>
  </si>
  <si>
    <t xml:space="preserve">Los siguientes planes regionales de búsqueda se encuentran formulados y con hipótesis de localización:
1. Plan Regional de Búsqueda Alto Atrato y San Juan, Choco.
2. Plan Regional de Búsqueda San Juanito, Meta
3. Plan Regional de Búsqueda San Carlos de Guaroa, Meta
4. Plan Regional de Búsqueda Cementerio de Facatativa, Cundinamarca
5. Plan Regional de Búsqueda Tumaco (Zona Río Mira-Mataje), Nariño
6. Plan Regional de Búsqueda Cementerio de Curumaní, Cesar
7. Plan Regional de Búsqueda La Montañita, Caqueta
8. Plan Regional de Búsqueda Puerto Nuevo, Nueva Loja, Ecuador.
Estos planes contienen una descripción de las unidades de análisis, así como una fundamentación de la hipótesis de los acaecido y el paradero de las personas dadas por desaparecidas.
La implementación es parte intrínseca de la formulación y elaboración de los planes regionales y se puede verificar en las carpetas físicas y digitales que cada líder de plan regional está construyendo. </t>
  </si>
  <si>
    <t>La matriz de actores permitió realizar una primera lectura sobre los principales actores clave en territorio, así como posibles ejes temáticos de articulación. Se logró cumplir con el 100% de la meta de este indicador.</t>
  </si>
  <si>
    <t xml:space="preserve">Se desarrollaron 80 encuentros en el 4to trimestre, con al menos 62 se inició un contacto de relacionamiento en el cuarto trimestre, con el propósito de facilitar la comprensión de las funciones, caracteristicas, alcances y naturaleza de la UBPD, así como su compatibilidad con otros mecanismos del SIVJRNR y demás instituciones del Estado.  Es importante mencionar que los equipos territoriales reportaron a la DPCVED las acciones de pedagogía realizadas con organizaciones de la sociedad civil y de víctimas. Dicho indicador es consolidado y reportada desde dicha Dirección técnica.223. </t>
  </si>
  <si>
    <t>Se desarrollaron 50 encuentros con entidades e instituciones con el propósito de facilitar la comprensión de las funciones, características, alcances y naturaleza de la UBPD, así como su compatibilidad con otros mecanismos del SIVJRNR y demás instituciones del Estado. En este caso la meta sobrepasó lo planeado ya que los equipos territoriales de la UBPD entraron con fecha posterior al despliegue de los demás mecanismos del SIVJRNR. Esto implicó mayor esfuerzo en adelantar distintos encuentros con entidades para presentar a la UBPD en territorio.
En este caso, durante los próximos meses, los equipos territoriales ya no estarán enfocados en dicha tarea sino en adelantar propuestas de articulación con las entidades e instituciones ya abordadas. En tal sentido, se debe tener en cuenta que aunque la planeación correspondía a una posible situación esperada, las expectativas fueron superadas. Teniendo en cuenta el resultado del segundo trimestre, la SGTT prevee que se podría incrementar la meta de los encuentros de los equipos territoriales durante la vigencia. Por lo tanto, solicitamos una reunión con la OAP para evaluar dicha solicitud a partir del 3er trimestre de 2019.</t>
  </si>
  <si>
    <t>Bajo la coordinación y lineamiento de la Subdirección General Técnica y Territorial, los equipos territoriales adelantaron 214 diálogos iniciales con familias y/o personas interesadas en conocer el paredero y lo acaecido relacionado a la desaparición de sus seres queridos, así como 127 acciones de asesoría, orientación, apoyo y fortalecimiento.
En este espacio, se indagó sobre las expectativas y necesidades de las víctimas en relación con la búsqueda, además de brindar información clara y precisa sobre el mandato y funciones de la UBPD a partir de su carácter humanitario extrajudicial y confidencial.</t>
  </si>
  <si>
    <t>Bajo la coordinación y lineamiento de la Subdrección General Técnica y Territorial, los equipos territoriales adelantaron 256 diálogos  iniciales con familias y/o personas interesadas en conocer el paradero y lo acaecido con sus ser(es) querido(s) dado(s) por desaparecido(s), así como 138 acciones de asesoría, orientación, apoyo y fortalecimiento.
En este espacio, se indagó sobre las expectativas y necesidades de las víctimas en relación con la búsqueda, además de brindar información clara y precisa sobre el mandato y funciones de la UBPD a partir de su carácter humanitario extrajudicial y confidencial.</t>
  </si>
  <si>
    <t>Se elaboró propuesta de Política de Seguridad, Protección y Confidencialidad de la Información; esta fue discutida y revisada con el Oficial de Seguridad, la Oficina Asesora Jurídica y la Oficina de Tecnologías de la Información y las Comunicaciones, sus observaciones fueron incorporadas al documento y se encuentra en proceso de nueva verificación y ajustes finales para su posterior revisión, socialización y eventual aprobación por parte de la alta dirección de la entidad. 
Se elaboró el segundo informe sobre seguridad y protección de la información de la UBPD, el cual contiene el balance sobre los instrumentos propuestos para definir lineamientos respecto al tema, y lecciones aprendidas que identifican buenas prácticas y oportunidades de mejora.</t>
  </si>
  <si>
    <t>1) Propuesta preliminar de Política de Seguridad, Protección y Confidencialidad de la Información.
2) Segundo informe sobre seguridad y protección de la información.
3) Listados de asistencia reuniones sobre diagnóstico de seguridad.
4) Contrato de prestación de servicios CINEP
5) Convenio 0030 Fiscalía General de la Nación.</t>
  </si>
  <si>
    <t>LOGROS: 
1) La existencia de una Guía e instrucciones para la gestión documental permitió que los servidores y servidoras aplicaran lineamientos para la seguridad y protección de la información (SPI) mientras se lleva a cabo la aprobación de la política.
2) Se evolucionó de una Guía e instrucciones para la gestión documental de información que contribuya a la búsqueda de personas dadas por desaparecidas a un documento de Política  de Seguridad, Protección y Confidencialidad de la Información que -una vez aprobado-, operaría como lineamientos de cobertura respecto a este tema en la entidad, y que derivaría en la formulación e implementación de políticas concretas para la Gestión Documental, Seguridad Digital y Seguridad de las Comunicaciones.  
3) Se formuló e implementó de forma exitosa un protocolo -específico- para la protección de información de alta sensibilidad, proveniente de personas que participaron directa e indirectamente de las hostilidades (Comunicado 062-FARC); evidenciando su viabilidad y aplicación conforme a lo estipulado dentro del mismo. 
DIFICULTADES: 
1) Dado que el tema de SPI es tan importante para la entidad por su carácter humanitario y extrajudicial, es un reto importante surtir de manera expedita el trámite de revisión, ajustes y aprobación de la Política, y de este modo generar mejores y mayores condiciones para la SPI, y para su confidencialidad. 
2) La incorporación de prácticas que generen mayores condiciones de SPI, tiene una estrecha relación con la  producción de cambios en la cultura organizacional que vinculen actividades continuas para la SPI por parte de servidores, servidoras y personal delegado de la UBPD; lo cual requiere de disposición personal, tiempo y repetición de acciones para convertirlas en hábitos.</t>
  </si>
  <si>
    <t xml:space="preserve">Con el registro de las personas dadas por desaparecidas puestas en conocimiento de la UBPD se ha logrado contar con un instrumento que permite caracterizarlas por diferentes variables que se relacionan con su identidad, circunstancias, lugar y fecha de desaparición y posible ubicación. Así mismo, se han podido relacionar personas dadas por desaparecidas que han sido puestas en conocimiento de la UBPD a través de más de una fuente de información, sin duplicar los registros, lo cual conlleva a que se nutra la información de una misma persona, con los datos aportados por varias fuentes.
Este registro ha servido como insumo para el establecimiento del proceso de búsqueda y ha permitido la distribución de esta labor entre los equipos territoriales, además de la apertura de carpetas físicas y digitales para llevar el archivo de la información concerniente a la búsqueda de cada una de estas personas.
No obstante, las tareas de validación, verificación y consolidación de la información se dificultan, habida cuenta de que los datos ingresan a través de diferentes fuentes y, dado que la UBPD aún no cuenta con un sistema de información que le facilite la depuración de la información, ha sido necesario implementar algunos mecanismos semiautomatizados de limpieza de datos y contratación de los mismos, que contemplan un alto componente de revisión manual, lo cual incrementa la probabilidad de cometer errores. Lo anterior, sumado a que existe un alto volumen de registros que son recibidos inicialmente en la UBPD, con una cantidad mínima de información, que algunas veces ni siquiera se limita al nombre de las personas dadas por desaparecidas.
</t>
  </si>
  <si>
    <t xml:space="preserve">
El principal logro asociado con el indicador es que se construyó la matriz de registro de fuentes teniendo en cuenta los lineamientos establecidos en la Política Pública de Archivos de Derechos Humanos, Memoria Histórica y Conflicto, las directrices dispuestas en el Protocolo de gestión de información de los archivos referidos a los graves y manifiestas violaciones a los derechos humanos, las definiciones del tesauro especializado del Centro Nacional de Memoria Histórica - CNMH y lo establecido en las normas técnicas nacionales e internacionales sobre descripción archivística. Ésta permite identificar y caracterizar las piezas documentales cuyo contenido podría contribuir a la búsqueda de personas dadas por desaparecidas en el marco del conflicto armado. Así mismo, permite identificar las piezas documentales y describir su contenido, estructura y las condiciones de almacenamiento, a la vez que reseña los datos principales sobre el productor, el remitente de la información y la forma mediante la cual ésta ingresó a la UBPD.
No obstante, durante la presente vigencia se presentaron dificultades que se derivan del alto volumen de archivos recibidos, en contraste con la limitada cantidad de personas del equipo de trabajo que se dedican a las labores de descripción archivística. Razón por la cual fue necesario acudir a la homologación de inventarios de fuentes con los que venían algunas de las unidades documentales recibidas, tal como es el caso de los archivos provenientes del Observatorio de Memoria y Conflicto del CNMH.
Para el año 2020 se plantea el reto de continuar describiendo y registrando la información que recibe la UBPD, con un aumento en la meta del presente indicador, lo cual implicará implementar de manera más ágil y eficiente los procedimientos definidos para este fin.</t>
  </si>
  <si>
    <t>Universo de personas dadas por desaparecidas en razón y en el marco del conflicto armado
·         Teniendo en cuenta la estructura del proceso general de búsqueda que ha adoptado la UBPD, las discusiones metodológicas que se han dado en torno a los subprocesos de recepción y recolección de información y los demás ejes estratégicos que ha identificado la entidad, se ha propuesto que la construcción del Universo de Personas dadas por Desaparecidas contemple, al menos, las siguientes líneas de trabajo:
1.    Integración de registros administrativos de entidades competentes en la búsqueda de personas desaparecidos –incluidos aquellos producidos en la implementación de la misión de la UBPD-
2.    Identificación, caracterización, contextualización y valoración de fuentes alternativas de información
3.    Sistematización, extracción y estructuración de información a partir de archivos de derechos humanos y fuentes documentales institucionales
4.    Censo de personas indígenas dadas por desaparecidas
·         El documento metodológico preparado por la Subdirección de Gestión de la Información desarrolla el primer punto.
·         Los productos entregados por el equipo consultor de Proyectamos en el desarrollo de la ‘Consultoría para el establecimiento de un mapeo que permita identificar, caracterizar, contextualizar y valorar las fuentes de información relevantes para el desarrollo de funciones de búsqueda de la Unidad de Búsqueda de Personas Desaparecidas’ han servido de insumo para desarrollar los aspectos metodológicos relacionados con el punto 2 y el punto 3.
·         Desde agosto de 2019 se han realizado tres reuniones técnicas con el equipo consultor indígena contratado por la UBPD para la construcción de insumos que nutran la estructuración de los productos acordados en el protocolo de relacionamiento entre los pueblos indígenas y la UBPD. En relación con el ‘Censo de personas indígenas dadas por desaparecidas’, el trabajo se ha centrado en avanzar de forma conjunta en la delimitación del alcance de este producto. En tal sentido, las conclusiones de este ejercicio se incorporan al primer documento metodológico relacionado con el Universo elaborado por la Subdirección de Gestión de la Información para la búsqueda denominado "Conceptualización y delimitación del alcance del Universo de Personas Dadas por Desaparecidas en razón y en el contexto del conflicto armado".
Por otra parte, la ‘Consultoría para el establecimiento de un mapeo que permita identificar, caracterizar, contextualizar y valorar las fuentes de información relevantes para el desarrollo de funciones de búsqueda de la Unidad de Búsqueda de Personas Desaparecidas’ planteó una propuesta metodológica para abordar el problema de la estimación del sub-registro, la cual se tomó como punto de partida para la elaboración del segundo documento relacionado con el Universo, denominado "Estimación del tamaño o magnitud del Universo de Personas dadas por Desaparecidas: Análisis sobre el Registro de Personas dadas por Desaparecidas y consideraciones para la estimación del subregistro de casos (Primera versión)".
Por último, es importante señalar que aunque la consultoría no tenía acceso a todas las bases de datos, esto no implica que la UBPD no tenga acceso a algunos de ellos. Es así como se tomaron los archivos de Excel de las diferentes bases de datos del Centro Memoria Histórica por tipo de hecho. Esa información se cargó a Sql server en la workstation y después con un código en sql se hizo el cruce con la integrada con los nombres, combinaciones y números de documento.</t>
  </si>
  <si>
    <t xml:space="preserve">Logros. Se diseñó metodológicamente el plan, estableciendo sus etapas, actividades y la posibilidad de modificación y actualización
Dificultades. La conceptualización y la práctica de la búsqueda llevó a crear protocolos que garanticen el carácter humanitario y extrajudicial. La identificación, el diseño y la puesta de los planeas ha llevado a tener ritmos distintos en este procesos </t>
  </si>
  <si>
    <t xml:space="preserve">Como se había consignado previamente fue celebrado los contratos No 129, 130,131 y 132 de 2019 en el mes de septiembre de 2019, que permitió la adquisición de los equipos de Geofísica, Arqueología y Topografía requeridos, cabe resaltar que estos equipos eran indispensables para realizar las valoraciones de los métodos, la mayoría de esta tecnología no se encuentra en el territorio nacional y los proveedores seleccionados debieron iniciar el proceso de importación. Una vez finalizado, los equipos fueron entregados a la UBPD a mitades del mes de diciembre de 2019, circunstancia que impidió que se llevará a cabo la valoración de los métodos de prospección y recuperación. Así las cosas, para dirigir las acciones de prospección y recuperación en los diferentes escenarios de disposición de cuerpos de personas dadas por desaparecidas es necesario contar con equipos tecnológicos, herramientas y elementos. Sumado a lo anterior es importante resaltar que el procedimiento de prospección requiere estar respaldado por un modelo estandarizado de trabajo, en este sentido en lo corrido del año se diseñaron los procedimientos enmarcados  en los estándares de trabajo técnico-científico forenses nacionales e internacionales, garantizando la aplicación de técnicas científicas para la recolección de los elementos que componen un sitio de disposición de cuerpos, lo cual no sólo incluye los cadáveres sino también los elementos asociados a estos, realizando una documentación detallada del lugar intervenido y su relación con los cuerpos y las evidencias.
Por lo expuesto, en la actualidad la DTPRI ha venido desarrollando un proceso de implementación de acciones humanitarias y extrajudiciales para la búsqueda, el cual este compuesto por los siguientes procedimientos:
•        Prospección.
•        Recuperación.
A su vez, existen dos guías para la documentación de los procedimientos de toma de muestras, prospección y recuperación, así:
•        Guía de fotografía forense.
•        Guías de topografía.
Es de aclarar, que los documentos mencionados se encuentran en fase de revisión y aprobación, sin embargo, fueron socializados por la Dirección de Prospección y Recuperación con la FAFG (Fundación de Antropología Forense de Guatemala),  con la oficina del Gestión del conocimiento y la OAP de la UBPD </t>
  </si>
  <si>
    <t>Los principales logros obtenidos durante la vigencia fue la adquisición de herramientas e insumos requeridos asegurando el cumplimiento de los procesos internos administrativos y la elaboración de los procedimientos de prospección, recuperación y guías anexas que dirigen las acciones de prospección y recuperación en los diferentes escenarios de disposición de cuerpos de personas dadas por desaparecidas.
Es de aclarar, que los documentos mencionados se encuentran en fase de revisión y aprobación, por lo que a la fecha la UBPD no ha podido iniciar el proceso de prospección  de cadáveres dentro de esta vigencia, razón por la cual se considera como la mayor dificultad para el cumplimiento de este indicador.
Por otra parte, cuando se realizó el plan de acción de la entidad para la vigencia 2019, la Dirección Técnica de Prospección, Recuperación e Identificación (DTPRI), no contaba con el equipo de personal en su totalidad, pues no se habían destinado los recursos para la conformación de la planta de personal de la UBPD, lo cual evidencia la dificultad para el cumplimiento de este indicador.</t>
  </si>
  <si>
    <t xml:space="preserve">Es importante resaltar que, el procedimiento de recuperación de cuerpos requiere estar respaldado por un modelo estandarizado de trabajo, en este sentido en lo corrido del año se diseñaron los procedimientos enmarcados  en los estándares de trabajo técnico-científico forenses nacionales e internacionales, garantizando la aplicación de técnicas científicas para la recolección de los elementos que componen un sitio de disposición de cuerpos, lo cual no sólo incluye los cadáveres sino también los elementos asociados a estos, realizando una documentación detallada del lugar intervenido y su relación con los cuerpos y las evidencias.
Por lo expuesto, en la actualidad la DTPRI ha venido desarrollando un proceso de implementación de acciones humanitarias y extrajudiciales para la búsqueda, el cual este compuesto por los siguientes procedimientos:
•        Prospección.
•        Recuperación.
A su vez, existen dos guías para la documentación de los procedimientos de toma de muestras, prospección y recuperación, así:
•        Guía de fotografía forense.
•        Guías de topografía.
Es de aclarar, que los documentos mencionados se encuentran en fase de revisión y aprobación, por lo que a la fecha la UBPD no ha podido iniciar el proceso de prospección ni recuperación de cadáveres dentro de esta vigencia, razón por la cual no será posible el cumplimento de estos indicadores.
Con relación a las herramientas necesarias para las labores de recuperación de cuerpos, se recibió a satisfacción los insumos del contrato 074. </t>
  </si>
  <si>
    <t xml:space="preserve">Es importante resaltar que, el procedimiento de recuperación de cuerpos requiere estar respaldado por un modelo estandarizado de trabajo, en este sentido en lo corrido del año se diseñaron los procedimientos enmarcados  en los estándares de trabajo técnico-científico forenses nacionales e internacionales, garantizando la aplicación de técnicas científicas para la recolección de los elementos que componen un sitio de disposición de cuerpos, lo cual no sólo incluye los cadáveres sino también los elementos asociados a estos, realizando una documentación detallada del lugar intervenido y su relación con los cuerpos y las evidencias.
Por lo expuesto, en la actualidad la DTPRI ha venido desarrollando un proceso de implementación de acciones humanitarias y extrajudiciales para la búsqueda, el cual este compuesto por los siguientes procedimientos:
•        Prospección.
•        Recuperación.
A su vez, existen dos guías para la documentación de los procedimientos de toma de muestras, prospección y recuperación, así:
•        Guía de fotografía forense.
•        Guías de topografía.
Es de aclarar, que los documentos mencionados se encuentran en fase de revisión y aprobación, por lo que a la fecha la UBPD no ha podido iniciar el proceso de prospección ni recuperación de cadáveres dentro de esta vigencia, razón por la cual no será posible el cumplimento de estos indicadores.
Con relación a las herramientas necesarias para las labores de recuperación de cuerpos, se recibió a satisfacción los insumos del contrato 074. </t>
  </si>
  <si>
    <t>Se cumple con este indicador. Se realizó seguimiento al proceso de identificación de un cuerpo recuperado por el CICR en área rural del municipio de Solano (Caquetá), del cual la UBPD había recibido información de la localización y circunstancias alrededor de la desaparición. Este seguimiento permitió conocer el proceso de identificación realizado en el Instituto Nacional de Medicina Legal y Ciencias Forenses, y  sobre estos hallazgos realizar aportes que permitieran tener certeza de la identificación y  posterior entrega digna del cuerpo a sus familiares.</t>
  </si>
  <si>
    <t>Se logró la elaboración del documento de Monitoreo al proceso de identificación de cadáveres y reuniones de trabajo con la Subdirección de Servicios Forenses del INMLyCF para la elaboración del protocolo de relacionamiento que permite realizar el monitoreo de los cadáveres recuperados por la UBPD.
Por ser dependiente del cumplimiento del Indicador # 48 Cuerpos Recuperados, y al no haber logrado la recuperación de cuerpos por parte de la UBPD  no se pudo iniciar un proceso de entrega de cuerpos a INML CF  y el respectivo monitoreo para su Identificación lo cual evidencia la dificultad para este indicador.</t>
  </si>
  <si>
    <t>Dentro del desarrollo de esta acción de impulso se logró realizar el diagnóstico de más de 7000 cadáveres en condición de no identificados, con respecto al
proceso de identificación, adicionalmente la articulación interinstitucional entre UBPD e INML CF en las diferentes regionales, la capacitación y entrenamiento de personal técnico y profesional para el ingreso de información en el instrumento de diagnóstico y en el SIRDEC con altos niveles de calidad, así mismo  se logró la visibilización de casos presuntamente identificados por el INML CF, sin entregas y el ingreso de aproximadamente 5000 casos en el Sistema de información SIRDEC.
A su vez se presentaron dificultades en el alistamiento para iniciar el proyecto en las sedes del INMLCF, en lo referente a los siguientes aspectos: no disponibilidad de los sitios de trabajo ni de los expedientes de necropsia y en todas las sedes en donde se está llevando a cabo el proyecto, los enlaces del INMLCF no tienen claros los lineamientos y procedimientos para resolver los requerimientos o dificultades con respecto al SIRDEC, situación que retrasa las respuestas por parte del INMLCF</t>
  </si>
  <si>
    <t>Cuatro Informes de avances y resultados de la fase de diagnóstico del "Proyecto de impulso al proceso de identificación de cadáveres en condición de no identificados en el país"</t>
  </si>
  <si>
    <t>Principales logros alcanzados:
-Logramos la asesoría, orientación y fortalecimiento para la participación en la búsqueda de 1230 personas durante la vigencia 2019.
-Identificamos las principales expectativas y necesidades de quienes buscan a través de los diferentes diálogos que realizamos con ellos. Estos aspectos relacionados con las demandas y necesidades de las familias en la actualidad, permiten vislumbrar por un lado, elementos de orden técnico y procedimental como: la necesidad de acceso a la justicia, a conocer lo acaecido con su ser querido, a acceder al registro único de víctimas y la reparación administrativa e indemnización, a comprender procesos como el de recuperación e identificación, los cuales implican en algunos casos la coordinación y articulación con otras entidades competentes; y por otro, elementos centrados en lo relacional y emocional, como por ejemplo: tramitar dentro del grupo familiar la desaparición y lo que ha implicado la búsqueda en sus vidas, los liderazgos asumidos principalmente por mujeres y personas mayores en el proceso de búsqueda, el relevo generacional de la búsqueda de sus seres queridos, y finalmente como el proceso mismo se convierte en un proceso reparador, dado que conlleva a transformar la condición de víctimas [de las familias] hacia la de sujetos políticos en su relación con el Estado, al reconocimiento por parte de una institución estatal [UBPD] de los procesos de búsqueda y de los aprendizajes adelantados por las propias familias, y, finalmente, a la dignificación de la memoria de la persona dada por desaparecida. Asimismo, cabe destacar, dentro de los elementos que más llaman la atención relacionados con las necesidades de los familiares, la vinculación al proceso de búsqueda de otros miembros de la familia o el silencio que han mantenido como grupo familiar frente a la desaparición de su ser querido, debido a aspectos como: el temor por la estigmatización, distanciamientos relacionales entre miembros de la familia, la imposibilidad de contar lo que pasó dado lo doloroso del hecho, salvaguardar la seguridad de otros miembros de la familia, principalmente de niños, niñas y jóvenes, y dar información falsa sobre la desaparición. Lo anterior nos permitió realizar diferentes acciones de fortalecimiento para la participación de los familiares en la búsqueda tanto individuales como colectivos.
-Avanzamos en la construcción de una forma de relacionamiento basada en el reconocimiento mutuo y la confianza con quienes buscan. 
- Contamos con una versión final para revisión de los lineamientos de participación de la UBPD con enfoques diferenciales y de género que le permitirán a la entidad tener unas orientaciones comunes para todos las y los servidores públicos. 
- Diseñamos y contribuimos en la elaboración de piezas pedagógicas que permitieron una mayor y mejor comprensión de la UBPD y del proceso de búsqueda a quienes buscan. Este trabajo se realizó de manera conjunta con la oficina de  comunicaciones y pedagogía, a partir de propuestas del equipo de participación de la sede central y fueron socializados el 11 de diciembre del año en curso al equipo de participación y miembros de la oficina de comunicaciones y pedagogía. Uno de los logros mas importantes fue el diseño y  elaboración de piezas pedagógicas que permitieron una mayor y mejor comprensión de la Misión y del Objeto de la UBPD y del proceso de búsqueda a quienes buscan.
Dificultades:
- No contar con un sistema de información, hace que las cifras sufran variaciones. La Dirección de información siempre nos advierte frente al número de personas que participan en el proceso de búsqueda “dicho reporte se encuentra en proceso de migración y verificación con la base de registro unificada, proceso que es dispendioso, por lo que no se podría tomar como cifra final o definitiva”.
-Lo que implica dar continuidad al proceso de relacionamiento permanente y particular con cada familiar o allegado en términos de capacidades humanas e institucionales, podría desembocar en no tener las personas o recursos suficientes para poder seguir realizándolo de esa manera.
-Resultados tangibles del proceso de búsqueda por parte de quienes buscan. En la medida en que nuestros procesos de búsqueda no alcancen los resultados o respuestas que ellos esperan y anhelan, es posible que afecte de manera negativa el proceso de relacionamiento construido.
-Transversalizar la importancia y el sentido de la participación de quienes buscan en todas las áreas misionales de la UBPD, lo que afecta el trabajo integral y por ende el nuevo paradigma que desea instalar la UBPD. 
-La comunicación con los equipos territoriales no fue permanente durante el año y esto dificultó brindar orientaciones sobre el proceso de participación y aclarar dudas sobre la diferencia entre atención psicosocial y proceso de participación desde un enfoque psicosocial y otros aspectos metodológicos.</t>
  </si>
  <si>
    <t>Durante la vigencia, se destacan los siguientes logros en el proceso de la construcción de las redes de apoyo:
- Elaboración del Proyecto de Red de Apoyo que nos permitió tener la estrategia metodológica para la contribución a la construcción de redes de apoyo en desaparición forzada/reclutamiento y en secuestro en donde se desconoce el paradero. Con este proyecto tuvimos nuestro marco sobre los objetivos, actividades, recursos económicos que requerían y despliegue territorial de la misma.
- Suscribimos dos convenios con organizaciones que permiten la ejecución del proyecto Red de Apoyo en su fase de pilotaje.
- Logramos el relacionamiento permanente con diversas organizaciones que permitió que el proyecto se hiciera y fuera puesto en ejecución.
- Con la ejecución de los convenios esperamos lograr el fortalecimiento de las condiciones de participación de quienes buscan, así como de las organizaciones y del trabajo de la UBPD. 
Las dificultades que se presentaron durante este proceso fueron: 
- Los tiempos de elaboración del proyecto Red de Apoyo y de la contratación de la misma se prolongaron y la ejecución de este pilotaje sólo fue posible para mes y medio.
- El tiempo para que las organizaciones autónomamente decidieran su participación en la Red también fue importantes.
- En la ejecución de este mes y medio, debido a situaciones externas como las diferentes movilizaciones del paro nacional acompañado de sus expresiones regionales y que todo está para implementar en un mes de cierre como diciembre, dificultan el cumplimiento de las actividades de la Red</t>
  </si>
  <si>
    <t>Frente a los grupos de trabajo interno territorial, cabe señal que mediante Resolución 1257 del 23 de octubre de 2019 fue ajustada la Resolución 217 del 07 de mayo de 2019 que reglamentó la conformación de grupos internos de trabajo territorial. En tal virtud, se adjunta el nuevo acto administrativo. 
Desde el día 28 de agosto de 2019 mediante memorando No. 100-3-201901230, se remitió a la Dirección General el proyecto de Resolución por medio del cual se reglamenta la conformación de los grupos de trabajo (administrativos), para su correspondiente revisión.
El día 25 de septiembre de 2019 mediante memorando No. 100-3-201901547, se remitió a la Dirección General la justificación para la creación de los grupos internos de trabajo (grupos administrativos), documento para revisión.
Con base en lo anterior, es de resaltar que el documento aún se encuentra en revisión.</t>
  </si>
  <si>
    <t>En la sesión No. 09 del Comité de Gestión llevada a cabo el día 13 de noviembre de 2019, fue aprobada la Política de Servicio al Ciudadano de la UBPD. Mediante Circular Interna No. 026 del 13 de diciembre de 2019, el documento fue socializado a los servidores de la Entidad.
En la sesión No. 10 del Comité de Gestión llevada a cabo el día 19 de diciembre de 2019, fue aprobada la Política Ambiental la UBPD. Mediante Circular Interna No. 027 del 20 de diciembre de 2019, el documento fue socializado a los servidores de la Entidad.
La Política de Gestión Documental fue presentada en los Comités de Gestión llevados a cabo en los meses de octubre y diciembre, no obstante, el documento fue objeto de observaciones proponiendo ajustes. A la fecha el texto se encuentra ajustado conforme los comentarios propuestos y se encuentra pendiente nuevamente de presentación ante el Comité de Gestión</t>
  </si>
  <si>
    <t>Política de Servicio al Ciudadano de la UBPD. 
Circular Interna No. 026 del 13 de diciembre de 2019.
Política Ambiental la UBPD.
Circular Interna No. 027 del 20 de diciembre de 2019.
Versión final de la Política de Gestión Documental.
Versiones de políticas que se han remitido a la agenda del comité de gestión los días 01 de octubre y 19 de diciembre de 2019.</t>
  </si>
  <si>
    <t xml:space="preserve">Se lograron presentar y aprobar 3 de las 4 políticas planteadas como meta, la Política de Gestión de Seguridad y Salud en el Trabajo, Politica de Servicio al Ciudadano y, la Política de Gestión Ambiental. 
Dificultades, la demora en el envío de las observaciones para ajustar la Política de Gestión Documental </t>
  </si>
  <si>
    <t xml:space="preserve">En la página web de la entidad se encuentran publicados por cada uno de los temas (cuando así aplique), todos los actos administrativos expedidos por parte de la UBPD en ejercicio de sus funciones administrativas y misionales (https://www.ubpdbusquedadesaparecidos.co/acerca-de-la-busqueda/, parte inferior, “estructura orgánica y gestión humana”, "actos administrativos", "2019").
Adicionalmente, se adjunta base de datos con la relación de las contrataciones llevadas a cabo en la vigencia 2019 (incluido 4° trimestre) con los links correspondientes de publicación las plataformas de contratación pública del estado SECOP I, SECOP II y TVEC. </t>
  </si>
  <si>
    <t>Como logro, el 100% de las actuaciones administrativas susceptibles de publicación, tanto en la plataforma web, como en las plataformas de contratación pública, fueron debidamente publicadas.</t>
  </si>
  <si>
    <t>Respecto de los reportes correspondientes al último trimestre de la vigencia 2019, es de destacar que, en el mes de octubre se refleja una ejecución (presupuesto obligado) de $22.663.082.914 equivalentes al 27.8% de la apropiación presupuestal inicial; en el mes de noviembre se obtiene un valor ejecutado de $27.218.873.404,85 equivalentes al 33.3% de la apropiación presupuestal inicial.
Ahora bien, para el mes de diciembre se refleja una ejecución (presupuesto obligado) de $40.012.602.933,79 equivalentes al 49% de la apropiación presupuestal inicial. No obstante, teniendo en cuenta la reducción presupuestal llevada a cabo por el Ministerio de Hacienda y Crédito Público a 31/12/2019, se refleja una apropiación en el presupuesto de la UBPD por valor de $63.050.561.303. Por lo anterior, el porcentaje de ejecución (presupuesto obligado) respecto de la apropiación vigente corresponde al 63.5%.</t>
  </si>
  <si>
    <t>Informe de PAC de los meses de octubre, noviembre y diciembre</t>
  </si>
  <si>
    <t>La gestión del componente de bienes y servicios en cumplimiento del indicador establecido y para el último trimestre de la vigencia, consta de las siguientes acciones: 
i) En cuanto a los servicios de operador logístico fueron requeridos 139 eventos desagregados de la siguiente manera: 24 para el mes de octubre, 76 en el mes de noviembre y 39 en el mes de diciembre, servicios que conforme la programación establecida, arrojan la atención efectiva de 136 eventos, equivalentes al 98% de las solicitudes.
ii) De acuerdo con los servicios de aseo y cafetería, a través de la orden compra N° 33792, fueron atendidos en los meses de octubre, noviembre y diciembre 36 requerimientos, que corresponden a 12 solicitudes mensuales de acuerdo con la programación que se encuentra establecida y registrada en minuta que reposa en el proceso. Dado lo anterior el avance porcentual corresponde al 100%.
iii) Frente a la gestión de almacén e inventarios, se precisa el siguiente comportamiento: En cuanto a los ingresos se registran 6 comprobantes discriminados de la siguiente manera: en octubre uno (1), en noviembre dos (2) y en el mes de diciembre tres (3), de este último reposan como evidencia dos soportes, dado que se encuentra pendiente una última facturación de la dependencia responsable. Teniendo en cuenta lo anterior, el avance porcentual corresponde al 83,3%.
En cuanto a los egresos se registra: en octubre diez (10) comprobantes, en noviembre treinta (30) y en diciembre dos (2), de este último reposa como evidencia solo un soporte, dado que se encuentra pendiente una última facturación de la dependencia responsable. Expuesto lo anterior, el avance porcentual corresponde al 97,6%.
Así las cosas, fueron recibidas en total 223 solicitudes de las cuales fueron atendidas durante el trimestre, 218 equivalentes al 97,7%.
Nota: El 2% de los eventos no atendidos corresponde a 2 eventos que se programaron en la vigencia del 2019, pero con fecha del 2020, estos ya tuvieron efectivo cumplimiento en el presente año, el otro evento (1) fue cancelado por el responsable del mismo, en los días de la entrega del informe, había sido programado para los últimos días del mes de diciembre, pero no tuvo desarrollo por agenda de los asistentes.</t>
  </si>
  <si>
    <t>Se cuenta con el aplicativo para el Sistema de Almacén, denominado QUICK WIDE ERP.  Se realiza control y seguimiento de la entrada y salida de bienes en la Unidad. Se han gestionado efectivamente los recursos necesarios para la entrega de bienes y servicios (Transporte, aseo y cafetería, vigilancia, operación logística, entre otros especificados en el informe de gestión).</t>
  </si>
  <si>
    <t>De acuerdo con el indicador 063, para el último trimestre se adelantaron las siguientes acciones para su cumplimiento:
i) Verificación de los hitos asociados a la Política de Servicio al Ciudadano, frente a lo cual, se logró la elaboración de la política, se gestionaron los trámites de ajuste al documento y se llevó a cabo la presentación del texto ante el comité de gestión el día 13 de noviembre. En este orden y en cumplimiento a los hitos propuestos, se elaboró el acto administrativo que adopta la política. Adicionalmente se logró la aprobación de la misma en la sesión No. 9 del Comité de Gestión; el documento fue formalizado en el SIG mediante código SCI-PC-002. Versión 1.
ii) Mediante Circular No. 026 del 2019, debidamente comunicada el 16 de diciembre, se socializó la política; tal y como consta en la evidencia aportada.
iii) En cuanto a la implementación de la Política, se adjunta informe descriptivo sobre la implementación, junto con cada una de las evidencias documentales que soportan la gestión. Así las cosas, se logra cumplimiento efectivo de cada una de las estrategias contempladas.
iv) Finalmente, frente al seguimiento al plan de servicio al ciudadano, se indica que, en el proceso de servicio al ciudadano han llevado a cabo los seguimientos correspondientes con el equipo de trabajo, los cuales se relacionan a continuación: estado de avance cualitativo y cuantitativo con corte del 13 mayo al 13 de junio de 2019, Acta No. 1; del 14 junio al 13 de julio de 2019 Acta No. 2; del 14 de julio al 1 de octubre de 2019 Acta No. 3; del 2 de octubre al 18 de noviembre Acta No. 4; Seguimiento a Riesgos del Proceso Acta No. 5 y, estado de avance cualitativo y cuantitativo con corte del 19 de noviembre al 17 de diciembre de 2019 Acta No. 6. Con un cumplimiento total del plan de trabajo.
Conclusión: Presentación al comité de gestión (7%); Elaboración del acto administrativo para su adopción (10%); Implementación de la política (20%) y Realizar seguimiento al plan de servicio al ciudadano (20%); con lo anterior, se obtiene un total del 52% de avance en el trimestre y un 100% de cumplimiento de las metas propuestas para el plan de acción 2019.</t>
  </si>
  <si>
    <t>Estructura del Plan Institucional de Archivos – PINAR:
De acuerdo con los reportes generados en los trimestres anteriores, y en las actividades sobre las cuales no se logró el total cumplimiento, se indica para el trimestre valorado un avance representativo en las siguientes actividades:
Finalización del diagnóstico documental el 24 de octubre de 2019.
Elaboración total del Plan Institucional de Archivos - PINAR de acuerdo con la metodología establecida por el AGN.
Presentación y aprobación del Plan Institucional de Archivos – PINAR: 
Pese a que fue programada la presentación en el Comité de Gestión del 19 de diciembre de 2019, por aspectos de agenda, no fue posible llevar a cabo la presentación, situación ajena al control del Proceso de Gestión Documental.
Estructura del Programa de Gestión Documental:
Se elaboró el Programa de Gestión Documental - PGD de la UBPD a partir de los resultados del diagnóstico, respecto de lo cual, por cuestiones de agenda del Comité en sesión del 19 de diciembre no fue posible llevar a cabo su presentación. 
Estructura Tablas de Retención Documental:
Se llevó a cabo el levantamiento y análisis de información de la I fase de elaboración de las TRD conforme lo indicado en el plan de acción, logrando cumplimiento total de la actividad; se definieron las series y subseries a partir de las agrupaciones identificadas durante el diagnóstico documental para la construcción del Cuadro de Clasificación Documental, como insumo de la Tabla de Retención Documental.
De lo anteriormente descrito se encuentran culminados y documentados: i) Estructura del Plan Institucional de Archivos – PINAR, ii) Estructura del Programa de Gestión Documental y iii) Estructura Tablas de Retención Documental, teniendo en cuenta la imposibilidad de llevar a cabo las presentaciones en el Comité de Gestión de los numerales i) y ii) no se da cumplimiento a dos hitos que corresponden al 6% de la gestión; con lo anterior, se obtiene un avance trimestral correspondiente al 31% para un total de 94% de cumplimiento acumulado del plan de acción 2019.</t>
  </si>
  <si>
    <t>Logros: Llegar al 31 de diciembre con 306 cargos provistos de una planta de 417 cargos, lo que equivale al 73,4% de avance. Al 31 de diciembre quedan 111 cargos vacantes.
Dificultades: Sedes físicas, la consecución de hojas de vida y perfiles adecuados y tiempos de entrevista y estudios de confiabilidad dificultaron el avance en la provisión de cargos</t>
  </si>
  <si>
    <t>Logros: Consolidar un plan acorde a las necesidades prioritarias de la áreas misionales y administrativas en tan corto tiempo de ejecución
Dificultades: Los tiempos de ejecución cruzados con otras actividades misionales y comisiones que dificultaron asistencias y el paro como causa externa que generó mover fechas</t>
  </si>
  <si>
    <t>Se realizaron 35 actividades de capacitación en el cuarto trimestre de la vigencia 2019, discriminadas de la siguiente manera: Dos jornadas de inducción, curso de AutoCad, Curso Formulación y planeación de proyectos (dos grupos), curso introductorio al manejo de bases de datos (tres grupos), semana de innovación tecnológica en archivos, capacitación registro nacional de bases de datos, resolución 1740, Curso Técnicas de Entrevista con fines de Búsqueda (dos grupos), Curso Contexto y Dinámicas del Conflicto Armado en Colombia (cinco grupos), Taller de Fortalecimiento de Trabajo en Equipo (cuatro grupos), Curso en Conceptos Básicos de la Gestión Documental, Curso en Contención y Manejo de Acompañamiento Emocional (tres grupos), Taller de Planeación Estratégica, Curso de Adobe Illustrator, Curso Metodologías para la Participación de Excombatientes, Curso de Metodologías de Investigación Aplicada, Curso de Adobe Profesional (dos grupos), Capacitación en Procedimiento de Comunicaciones Oficiales, Taller de Liderazgo para Directivos y Curso Metodologías para la Construcción de Redes de Apoyo y Generación de Lazos. Durante el cuarto trimestre se registraron 51 capacitados (sin repetir).</t>
  </si>
  <si>
    <t>Logros: Contar con la mayoría de documentación del Sistema
Dificultades: Los espacios físicos de la UBPD que no han permitido consolidar de manera adecuada el sistema frente a espacios y puestos de trabajo</t>
  </si>
  <si>
    <t>1. Módulo COPASST y CCL: listados de asistencia.
2. Programa de capacitación: listados de asistencia, correos de divulgación, presentaciones, comunicaciones, cronograma y documento GTH-PG-002 Programa de capacitación.
3. Seguimiento contratistas: acta de seguimiento contratistas, soportes, memorando lineamientos
4. Gestión del cambio: correo 
5. Actividades de promoción y prevención: listados de asistencia
6. Hábitos saludables: correos de divulgación, GTH-PG-001 PROGRAMA HABITOS DE VIDA SALUDABLE
7. Medidas de prevención: Matriz identificación peligros y riesgos
8. Verificación medidas de prevención: Matriz identificación peligros y riesgos.
9. Procedimientos, protocolos: GTH-PL-004 Plan de prevención, preparación y respuesta ante emergencias, GTH-PR-004 Realización de exámenes médicos, GTH-PR-005 Reporte e investigación de accidentes
10. Mantenimientos: soportes arreglos y mantenimientos
11. Brigada: Listados de asistencia, listado de brigadistas
12. Seguimiento OCI: correo de seguimiento</t>
  </si>
  <si>
    <t>Se tenía previsto crear el Código de Integridad en la UBPD durante el transcurso del año, sin embargo después  de diferentes reuniones del Comité de Gestión y una vez la Oficina Asesora Jurídica envió presentación sobre las 17 políticas de gestión, se decidió no tomar como modelo de referencia la estrategia de MIPG para la creación de valores institucionales.
El pasado 3 de diciembre de 2019 se efectuó una reunión con el grupo de valores, en la cual se presentó un línea de tiempo con el fin de mostrar el avance hecho durante los comités de gestión en relación con la adopción del Código de Integridad. En esta reunión se expuso la construcción de valores y el por qué es necesario definir unos valores que representen a los servidores de la Unidad. En tal sentido se replantean los hitos para el cuarto trimestre toda vez que la propuesta de implementación de valores fue modificada.</t>
  </si>
  <si>
    <t>Hito 1. A partir de la revisión de las guías, Conpes y normativa relacionada, se elaboró un borrador de la estrategia y se avanzó en las etapas básicas, comenzando por la caracterización de los grupos de valor. Para ello, además del documento, se consolidó una base de datos con más de 2.000 registros y una propuesta de encuesta externa para realizarles, una vez la entidad cuente con una política de tratamiento de datos que lo permita. Sin embargo, este hito se reporta en avance en cero, dado que la estrategia no ha sido aprobada por la UBPD.
Hito 4. Se definió junto con la Oficina Asesora de Comunicaciones y Pedagogía, cuáles serían los datos que tendrían actualización en el trimestre en la página web. Se actualizó la información consultado a las áreas técnicas relacionadas, fundamentalmente a la Dirección de Información, Planeación y Localización para la Búsqueda y sus respectivas Subdirecciones. Por otra parte, se entrevistó a los directores técnicos para recopilar los que consideran como mayores logros de sus dependencias en la vigencia.
Hito 5. Teniendo en cuenta el alto volumen de eventos y actividades programadas para el último trimestre del año como parte del quehacer de la UBPD, se definió que la acción de diálogo del segundo semestre no sería presencial, sino que se elaboró un video llamado "Avanza la Unidad de Búsqueda", en el que los directores Técnicos y jefes de Oficina cuentan cuáles fueron los principales logros alcanzando en la vigencia. Para abrir un diálogo con la ciudadanía, se recibieron preguntas sobre la gestión de la UBPD en los comentarios de ese video.
Hito 6. El mecanismo establecido para dar seguimiento a los compromisos adquiridos en el diálogo virtual realizado fue acopiar y sistematizar las preguntas y evaluaciones que surgieran en el video "Avanza la Unidad de Búsqueda", las cuales fueron catalogadas en temas y remitidas a los responsables de las áreas a las que correspondían. Sobre esa base, se realizaron jornadas cortas con cada director Técnico responsable de las respuestas y se solucionaron las inquietudes manifestadas por la ciudadanía mediante una segunda pieza audiovisual más corta. Esta fue, al igual que la primera, publicada en la página web y redes sociales de la UBPD.
Hito 7. Se estableció que las actividades serán reportadas mediante una autoevaluación. En este hito se avanzó en el trimestre anterior y se realizó un documento escrito con respecto a la I audiencia. En en el caso del video, se incorporaron las apreciacions como parte del documento de trabajo de la Estrategia de rendición de cuentas de la UBPD.
Hito 8. En coherencia con lo indicado en el hito 6, el compromiso adquirido a través del video "Avanza la Unidad de Búsqueda", fue responder de manera completa las preguntas recibidas, para lo cual se realizaron entrevistas a los directores Técnicos y jefes de Oficina, quienes se encargaron directamente de responder las inquietudes recibidas. El video fue divulgado a través de la web de la entidad y en sus redes sociales.
Hito 9. Se sostuvo una reunión con la directora General para presentar el balance de lo realizado en el año con respecto a la rendición de cuentas. Ella remitió el documento a la Oficina Asesora Jurídica, que manifestó que su opinión será entregada a través de un concepto que emitirá en 2020.</t>
  </si>
  <si>
    <t>Hito 1. Documento "Estrategia de rendición de cuentas V1".
Hito 4. Temas definidos para actualización trimestral (documento de Word.
Hito 5. Video "Avanza la Unidad de Búsqueda" (https://www.youtube.com/watch?v=7KfYkj_B3go&amp;feature=emb_logo)
Hito 6. Transcripción de preguntas y evaluaciones de la I audiencia.
Hito 7. Estrategia de rendición de cuentas de la UBPD (documento de trabajo).
Hito 8. Respuestas a preguntas recibidas en la acción virtual de diálogo "Avanza la Unidad de Búsqueda". Acceso en https://www.ubpdbusquedadesaparecidos.co/actualidad/avanza-la-unidad-de-busqueda/</t>
  </si>
  <si>
    <t>Logros: haber podido realizar la encuesta de resiliencia que arrroja que factores importantes de medición que se sumarán a la batería de riesgo.
Dificultades: Los temas de espacios físicos de reunión y cuidado dan cuenta de necesidad de nuevas estrategias de clima laboral</t>
  </si>
  <si>
    <t>3 proyectos de cooperación financiera aprobados</t>
  </si>
  <si>
    <t>0% de avance en la elaboración del documento de la política de prevención del daño antijurídico realizado</t>
  </si>
  <si>
    <t>SEGUIMIENTO CUARTO TRIMESTRE DE 2019</t>
  </si>
  <si>
    <r>
      <t>Los indicadores en este color, además del Plan de Acción, también hacen parte del proyecto de inversión con código BPIN 907: “</t>
    </r>
    <r>
      <rPr>
        <i/>
        <sz val="12"/>
        <color theme="1"/>
        <rFont val="Arial Narrow"/>
        <family val="2"/>
      </rPr>
      <t>Implementación de procesos humanitarios y extrajudiciales de búsqueda de personas dadas por desaparecidas en razón y en contexto del conflicto armado colombiano nacional</t>
    </r>
    <r>
      <rPr>
        <sz val="12"/>
        <color theme="1"/>
        <rFont val="Arial Narrow"/>
        <family val="2"/>
      </rPr>
      <t>”.</t>
    </r>
  </si>
  <si>
    <r>
      <t>Los indicadores en este color, además del Plan de Acción, también hacen parte del proyecto de inversión con código BPIN 898: “</t>
    </r>
    <r>
      <rPr>
        <i/>
        <sz val="12"/>
        <rFont val="Arial Narrow"/>
        <family val="2"/>
      </rPr>
      <t>Fortalecimiento de la Unidad de Búsqueda de Personas dadas por Desaparecidas nacional</t>
    </r>
    <r>
      <rPr>
        <sz val="12"/>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</si>
</sst>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 &quot;€&quot;_-;\-* #,##0.00\ &quot;€&quot;_-;_-* &quot;-&quot;??\ &quot;€&quot;_-;_-@_-"/>
    <numFmt numFmtId="165" formatCode="_-* #,##0.00\ _€_-;\-* #,##0.00\ _€_-;_-* &quot;-&quot;??\ _€_-;_-@_-"/>
    <numFmt numFmtId="166" formatCode="_-&quot;$&quot;* #,##0.00_-;\-&quot;$&quot;* #,##0.00_-;_-&quot;$&quot;* &quot;-&quot;??_-;_-@_-"/>
    <numFmt numFmtId="167" formatCode="_(&quot;$&quot;\ * #,##0.00_);_(&quot;$&quot;\ * \(#,##0.00\);_(&quot;$&quot;\ * &quot;-&quot;??_);_(@_)"/>
    <numFmt numFmtId="168" formatCode="_(* #,##0.00_);_(* \(#,##0.00\);_(* &quot;-&quot;??_);_(@_)"/>
    <numFmt numFmtId="169" formatCode="_ &quot;$&quot;\ * #,##0.00_ ;_ &quot;$&quot;\ * \-#,##0.00_ ;_ &quot;$&quot;\ * &quot;-&quot;??_ ;_ @_ "/>
    <numFmt numFmtId="170" formatCode="[$-C0A]d\-mmm\-yy;@"/>
    <numFmt numFmtId="171" formatCode="d\-m\-yy;@"/>
    <numFmt numFmtId="172" formatCode="dd/mm/yyyy;@"/>
    <numFmt numFmtId="173" formatCode="0.0%"/>
  </numFmts>
  <fonts count="22" x14ac:knownFonts="1">
    <font>
      <sz val="11"/>
      <color theme="1"/>
      <name val="Calibri"/>
      <family val="2"/>
      <scheme val="minor"/>
    </font>
    <font>
      <sz val="11"/>
      <color indexed="8"/>
      <name val="Calibri"/>
      <family val="2"/>
    </font>
    <font>
      <sz val="12"/>
      <name val="Arial Narrow"/>
      <family val="2"/>
    </font>
    <font>
      <sz val="10"/>
      <name val="Arial"/>
      <family val="2"/>
    </font>
    <font>
      <b/>
      <sz val="12"/>
      <name val="Arial Narrow"/>
      <family val="2"/>
    </font>
    <font>
      <b/>
      <sz val="22"/>
      <name val="Arial Narrow"/>
      <family val="2"/>
    </font>
    <font>
      <sz val="11"/>
      <color theme="1"/>
      <name val="Calibri"/>
      <family val="2"/>
      <scheme val="minor"/>
    </font>
    <font>
      <sz val="12"/>
      <color theme="1"/>
      <name val="Arial Narrow"/>
      <family val="2"/>
    </font>
    <font>
      <sz val="12"/>
      <color rgb="FFFF0000"/>
      <name val="Arial Narrow"/>
      <family val="2"/>
    </font>
    <font>
      <sz val="11"/>
      <color rgb="FF9C6500"/>
      <name val="Calibri"/>
      <family val="2"/>
      <scheme val="minor"/>
    </font>
    <font>
      <b/>
      <sz val="26"/>
      <color rgb="FFCC99FF"/>
      <name val="Arial Narrow"/>
      <family val="2"/>
    </font>
    <font>
      <sz val="9"/>
      <name val="Arial Narrow"/>
      <family val="2"/>
    </font>
    <font>
      <b/>
      <u/>
      <sz val="18"/>
      <name val="Arial Narrow"/>
      <family val="2"/>
    </font>
    <font>
      <sz val="9"/>
      <color theme="1"/>
      <name val="Arial Narrow"/>
      <family val="2"/>
    </font>
    <font>
      <b/>
      <sz val="9"/>
      <name val="Arial Narrow"/>
      <family val="2"/>
    </font>
    <font>
      <b/>
      <sz val="9"/>
      <color indexed="81"/>
      <name val="Tahoma"/>
      <family val="2"/>
    </font>
    <font>
      <u/>
      <sz val="9"/>
      <name val="Arial Narrow"/>
      <family val="2"/>
    </font>
    <font>
      <sz val="8"/>
      <name val="Arial Narrow"/>
      <family val="2"/>
    </font>
    <font>
      <sz val="9"/>
      <color indexed="81"/>
      <name val="Tahoma"/>
      <family val="2"/>
    </font>
    <font>
      <u/>
      <sz val="9"/>
      <color theme="1"/>
      <name val="Arial Narrow"/>
      <family val="2"/>
    </font>
    <font>
      <i/>
      <sz val="12"/>
      <color theme="1"/>
      <name val="Arial Narrow"/>
      <family val="2"/>
    </font>
    <font>
      <i/>
      <sz val="12"/>
      <name val="Arial Narrow"/>
      <family val="2"/>
    </font>
  </fonts>
  <fills count="1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EB9C"/>
      </patternFill>
    </fill>
    <fill>
      <patternFill patternType="solid">
        <fgColor theme="9" tint="0.59999389629810485"/>
        <bgColor indexed="64"/>
      </patternFill>
    </fill>
    <fill>
      <patternFill patternType="solid">
        <fgColor theme="5" tint="0.59999389629810485"/>
        <bgColor indexed="64"/>
      </patternFill>
    </fill>
    <fill>
      <patternFill patternType="solid">
        <fgColor rgb="FF599FA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66FFCC"/>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7"/>
        <bgColor indexed="64"/>
      </patternFill>
    </fill>
    <fill>
      <patternFill patternType="solid">
        <fgColor rgb="FF00B0F0"/>
        <bgColor indexed="64"/>
      </patternFill>
    </fill>
    <fill>
      <patternFill patternType="solid">
        <fgColor theme="4" tint="0.39997558519241921"/>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auto="1"/>
      </left>
      <right/>
      <top style="thin">
        <color auto="1"/>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s>
  <cellStyleXfs count="43">
    <xf numFmtId="0" fontId="0" fillId="0" borderId="0"/>
    <xf numFmtId="41"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1"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7" fontId="1"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0" fontId="3" fillId="0" borderId="0"/>
    <xf numFmtId="0" fontId="3" fillId="0" borderId="0"/>
    <xf numFmtId="0" fontId="3" fillId="0" borderId="0"/>
    <xf numFmtId="0" fontId="9" fillId="5" borderId="0" applyNumberFormat="0" applyBorder="0" applyAlignment="0" applyProtection="0"/>
  </cellStyleXfs>
  <cellXfs count="219">
    <xf numFmtId="0" fontId="0" fillId="0" borderId="0" xfId="0"/>
    <xf numFmtId="0" fontId="2" fillId="2" borderId="0" xfId="0" applyFont="1" applyFill="1" applyAlignment="1">
      <alignment horizontal="center"/>
    </xf>
    <xf numFmtId="0" fontId="2" fillId="2" borderId="0" xfId="0" applyFont="1" applyFill="1"/>
    <xf numFmtId="0" fontId="7" fillId="0" borderId="0" xfId="0" applyFont="1"/>
    <xf numFmtId="0" fontId="7" fillId="0" borderId="0" xfId="0" applyFont="1" applyAlignment="1">
      <alignment horizontal="center"/>
    </xf>
    <xf numFmtId="0" fontId="2" fillId="2" borderId="0" xfId="0" applyFont="1" applyFill="1" applyAlignment="1">
      <alignment horizontal="justify" wrapText="1"/>
    </xf>
    <xf numFmtId="0" fontId="2" fillId="2" borderId="0" xfId="0" applyFont="1" applyFill="1" applyAlignment="1">
      <alignment horizontal="fill"/>
    </xf>
    <xf numFmtId="0" fontId="2" fillId="4" borderId="1" xfId="0" applyFont="1" applyFill="1" applyBorder="1" applyAlignment="1">
      <alignment horizontal="center" vertical="center" wrapText="1"/>
    </xf>
    <xf numFmtId="0" fontId="2" fillId="2" borderId="0" xfId="0" applyFont="1" applyFill="1" applyAlignment="1">
      <alignment horizontal="center" wrapText="1"/>
    </xf>
    <xf numFmtId="0" fontId="7" fillId="2" borderId="1" xfId="0" applyFont="1" applyFill="1" applyBorder="1" applyAlignment="1">
      <alignment horizontal="left" vertical="center" wrapText="1"/>
    </xf>
    <xf numFmtId="0" fontId="2" fillId="2" borderId="0" xfId="0" applyFont="1" applyFill="1" applyAlignment="1">
      <alignment horizontal="fill" wrapText="1"/>
    </xf>
    <xf numFmtId="0" fontId="8" fillId="0" borderId="0" xfId="0" applyFont="1"/>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14" fontId="2"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14" fontId="2" fillId="2" borderId="1" xfId="0" applyNumberFormat="1" applyFont="1" applyFill="1" applyBorder="1" applyAlignment="1">
      <alignment horizontal="center" wrapText="1"/>
    </xf>
    <xf numFmtId="172"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4" fontId="2" fillId="2" borderId="0" xfId="0" applyNumberFormat="1" applyFont="1" applyFill="1" applyAlignment="1">
      <alignment horizontal="center" wrapText="1"/>
    </xf>
    <xf numFmtId="14" fontId="2" fillId="2" borderId="0" xfId="0" applyNumberFormat="1" applyFont="1" applyFill="1" applyAlignment="1">
      <alignment horizontal="center"/>
    </xf>
    <xf numFmtId="0" fontId="2"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14" fontId="2" fillId="2" borderId="6" xfId="0" applyNumberFormat="1" applyFont="1" applyFill="1" applyBorder="1" applyAlignment="1">
      <alignment horizontal="center" wrapText="1"/>
    </xf>
    <xf numFmtId="0" fontId="7" fillId="0" borderId="1" xfId="42" applyFont="1" applyFill="1" applyBorder="1" applyAlignment="1">
      <alignment horizontal="left" vertical="center" wrapText="1"/>
    </xf>
    <xf numFmtId="0" fontId="5" fillId="2" borderId="5" xfId="0" applyFont="1" applyFill="1" applyBorder="1" applyAlignment="1">
      <alignment vertical="center"/>
    </xf>
    <xf numFmtId="0" fontId="5" fillId="2" borderId="0" xfId="0" applyFont="1" applyFill="1" applyAlignment="1">
      <alignment vertical="center"/>
    </xf>
    <xf numFmtId="0" fontId="2" fillId="2" borderId="0" xfId="0" applyFont="1" applyFill="1" applyAlignment="1">
      <alignment horizontal="left" wrapText="1"/>
    </xf>
    <xf numFmtId="0" fontId="2" fillId="2" borderId="0" xfId="0" applyFont="1" applyFill="1" applyAlignment="1">
      <alignment horizontal="left"/>
    </xf>
    <xf numFmtId="0" fontId="2" fillId="4" borderId="2" xfId="0" applyFont="1" applyFill="1" applyBorder="1" applyAlignment="1">
      <alignment horizontal="center" vertical="center" wrapText="1"/>
    </xf>
    <xf numFmtId="0" fontId="10" fillId="2" borderId="3" xfId="0" applyFont="1" applyFill="1" applyBorder="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171" fontId="2" fillId="2" borderId="10" xfId="27" applyNumberFormat="1" applyFont="1" applyFill="1" applyBorder="1" applyAlignment="1">
      <alignment horizontal="left" vertical="center" wrapText="1"/>
    </xf>
    <xf numFmtId="171" fontId="2" fillId="4" borderId="10" xfId="27" applyNumberFormat="1" applyFont="1" applyFill="1" applyBorder="1" applyAlignment="1">
      <alignment horizontal="left" vertical="center" wrapText="1"/>
    </xf>
    <xf numFmtId="171" fontId="2" fillId="0" borderId="10" xfId="27" applyNumberFormat="1" applyFont="1" applyFill="1" applyBorder="1" applyAlignment="1">
      <alignment horizontal="left" vertical="center" wrapText="1"/>
    </xf>
    <xf numFmtId="171" fontId="2" fillId="0" borderId="10" xfId="27" applyNumberFormat="1" applyFont="1" applyFill="1" applyBorder="1" applyAlignment="1">
      <alignment vertical="center" wrapText="1"/>
    </xf>
    <xf numFmtId="171" fontId="2" fillId="2" borderId="12" xfId="27"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0" fontId="2" fillId="8" borderId="9" xfId="0" applyFont="1" applyFill="1" applyBorder="1" applyAlignment="1">
      <alignment horizontal="center"/>
    </xf>
    <xf numFmtId="0" fontId="2" fillId="8" borderId="1" xfId="0" applyFont="1" applyFill="1" applyBorder="1" applyAlignment="1">
      <alignment horizontal="center"/>
    </xf>
    <xf numFmtId="0" fontId="4" fillId="8" borderId="9"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49" fontId="2" fillId="4" borderId="1" xfId="0" applyNumberFormat="1" applyFont="1" applyFill="1" applyBorder="1" applyAlignment="1">
      <alignment horizontal="center" vertical="center" wrapText="1"/>
    </xf>
    <xf numFmtId="0" fontId="2" fillId="6" borderId="1" xfId="0" applyFont="1" applyFill="1" applyBorder="1" applyAlignment="1">
      <alignment horizontal="center"/>
    </xf>
    <xf numFmtId="0" fontId="7" fillId="12" borderId="1" xfId="0" applyFont="1" applyFill="1" applyBorder="1" applyAlignment="1">
      <alignment horizontal="left" vertical="center" wrapText="1"/>
    </xf>
    <xf numFmtId="0" fontId="2" fillId="12" borderId="10" xfId="0" applyFont="1" applyFill="1" applyBorder="1" applyAlignment="1">
      <alignment horizontal="left" vertical="center" wrapText="1"/>
    </xf>
    <xf numFmtId="0" fontId="7" fillId="13" borderId="1" xfId="0" applyFont="1" applyFill="1" applyBorder="1" applyAlignment="1">
      <alignment horizontal="left" vertical="center" wrapText="1"/>
    </xf>
    <xf numFmtId="172" fontId="7" fillId="13" borderId="1" xfId="0" applyNumberFormat="1" applyFont="1" applyFill="1" applyBorder="1" applyAlignment="1">
      <alignment horizontal="center" vertical="center" wrapText="1"/>
    </xf>
    <xf numFmtId="0" fontId="2" fillId="13" borderId="10" xfId="0" applyFont="1" applyFill="1" applyBorder="1" applyAlignment="1">
      <alignment vertical="center" wrapText="1"/>
    </xf>
    <xf numFmtId="0" fontId="2" fillId="13" borderId="1" xfId="0" applyFont="1" applyFill="1" applyBorder="1" applyAlignment="1">
      <alignment horizontal="left" vertical="center" wrapText="1"/>
    </xf>
    <xf numFmtId="14" fontId="2" fillId="13" borderId="1" xfId="0" applyNumberFormat="1" applyFont="1" applyFill="1" applyBorder="1" applyAlignment="1">
      <alignment horizontal="center" vertical="center" wrapText="1"/>
    </xf>
    <xf numFmtId="171" fontId="2" fillId="13" borderId="10" xfId="27" applyNumberFormat="1" applyFont="1" applyFill="1" applyBorder="1" applyAlignment="1">
      <alignment horizontal="left" vertical="center" wrapText="1"/>
    </xf>
    <xf numFmtId="14" fontId="7" fillId="13" borderId="1" xfId="0" applyNumberFormat="1" applyFont="1" applyFill="1" applyBorder="1" applyAlignment="1">
      <alignment horizontal="center" vertical="center" wrapText="1"/>
    </xf>
    <xf numFmtId="14" fontId="2" fillId="13" borderId="10" xfId="0" applyNumberFormat="1" applyFont="1" applyFill="1" applyBorder="1" applyAlignment="1">
      <alignment horizontal="left" vertical="center" wrapText="1"/>
    </xf>
    <xf numFmtId="0" fontId="2" fillId="12" borderId="1" xfId="0" applyFont="1" applyFill="1" applyBorder="1" applyAlignment="1">
      <alignment horizontal="left" vertical="center" wrapText="1"/>
    </xf>
    <xf numFmtId="14" fontId="2" fillId="12" borderId="1" xfId="0" applyNumberFormat="1" applyFont="1" applyFill="1" applyBorder="1" applyAlignment="1">
      <alignment horizontal="center" vertical="center" wrapText="1"/>
    </xf>
    <xf numFmtId="171" fontId="2" fillId="12" borderId="10" xfId="27" applyNumberFormat="1" applyFont="1" applyFill="1" applyBorder="1" applyAlignment="1">
      <alignment horizontal="left" vertical="center" wrapText="1"/>
    </xf>
    <xf numFmtId="14" fontId="7" fillId="12" borderId="1" xfId="0" applyNumberFormat="1" applyFont="1" applyFill="1" applyBorder="1" applyAlignment="1">
      <alignment horizontal="center" vertical="center" wrapText="1"/>
    </xf>
    <xf numFmtId="0" fontId="2" fillId="7" borderId="9" xfId="0" applyFont="1" applyFill="1" applyBorder="1" applyAlignment="1">
      <alignment horizontal="center"/>
    </xf>
    <xf numFmtId="0" fontId="2" fillId="7" borderId="1" xfId="0" applyFont="1" applyFill="1" applyBorder="1" applyAlignment="1">
      <alignment horizontal="center"/>
    </xf>
    <xf numFmtId="0" fontId="4" fillId="7" borderId="9" xfId="0" applyFont="1" applyFill="1" applyBorder="1" applyAlignment="1">
      <alignment horizontal="center" vertical="center" wrapText="1"/>
    </xf>
    <xf numFmtId="0" fontId="4" fillId="7" borderId="1" xfId="0" applyFont="1" applyFill="1" applyBorder="1" applyAlignment="1">
      <alignment horizontal="center" vertical="center" wrapText="1"/>
    </xf>
    <xf numFmtId="14" fontId="2" fillId="0" borderId="1" xfId="0" applyNumberFormat="1" applyFont="1" applyBorder="1" applyAlignment="1">
      <alignment horizontal="left" vertical="center" wrapText="1"/>
    </xf>
    <xf numFmtId="0" fontId="2" fillId="0" borderId="10" xfId="0" applyFont="1" applyBorder="1" applyAlignment="1">
      <alignment horizontal="left" vertical="center" wrapText="1"/>
    </xf>
    <xf numFmtId="172" fontId="2" fillId="0" borderId="1" xfId="0" applyNumberFormat="1" applyFont="1" applyBorder="1" applyAlignment="1">
      <alignment horizontal="center" vertical="center" wrapText="1"/>
    </xf>
    <xf numFmtId="172" fontId="2" fillId="0" borderId="1" xfId="0" applyNumberFormat="1" applyFont="1" applyBorder="1" applyAlignment="1">
      <alignment horizontal="center" vertical="center"/>
    </xf>
    <xf numFmtId="0" fontId="2" fillId="4" borderId="22" xfId="0" applyFont="1" applyFill="1" applyBorder="1" applyAlignment="1">
      <alignment horizontal="center" vertical="center" wrapText="1"/>
    </xf>
    <xf numFmtId="0" fontId="2" fillId="16" borderId="9" xfId="0" applyFont="1" applyFill="1" applyBorder="1" applyAlignment="1">
      <alignment horizontal="center"/>
    </xf>
    <xf numFmtId="0" fontId="2" fillId="16" borderId="1" xfId="0" applyFont="1" applyFill="1" applyBorder="1" applyAlignment="1">
      <alignment horizontal="center"/>
    </xf>
    <xf numFmtId="0" fontId="2" fillId="16" borderId="10" xfId="0" applyFont="1" applyFill="1" applyBorder="1" applyAlignment="1">
      <alignment horizontal="center"/>
    </xf>
    <xf numFmtId="0" fontId="4" fillId="16" borderId="9"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16" borderId="1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xf>
    <xf numFmtId="0" fontId="11" fillId="4" borderId="1"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 fillId="6" borderId="2" xfId="0" applyFont="1" applyFill="1" applyBorder="1" applyAlignment="1">
      <alignment horizontal="center"/>
    </xf>
    <xf numFmtId="0" fontId="4" fillId="6" borderId="2" xfId="0"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xf numFmtId="14" fontId="2" fillId="2" borderId="1" xfId="0" applyNumberFormat="1" applyFont="1" applyFill="1" applyBorder="1" applyAlignment="1">
      <alignment horizontal="center"/>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70" fontId="4" fillId="3" borderId="1" xfId="27" applyNumberFormat="1" applyFont="1" applyFill="1" applyBorder="1" applyAlignment="1">
      <alignment horizontal="center" vertical="center" wrapText="1"/>
    </xf>
    <xf numFmtId="0" fontId="2" fillId="4" borderId="23" xfId="0" applyFont="1" applyFill="1" applyBorder="1" applyAlignment="1">
      <alignment horizontal="center" vertical="center" wrapText="1"/>
    </xf>
    <xf numFmtId="0" fontId="10" fillId="2" borderId="9" xfId="0" applyFont="1" applyFill="1" applyBorder="1" applyAlignment="1">
      <alignment vertical="center"/>
    </xf>
    <xf numFmtId="0" fontId="4" fillId="3" borderId="9" xfId="0" applyFont="1" applyFill="1" applyBorder="1" applyAlignment="1">
      <alignment horizontal="center" vertical="center" wrapText="1"/>
    </xf>
    <xf numFmtId="0" fontId="2" fillId="13" borderId="10" xfId="0" applyFont="1" applyFill="1" applyBorder="1" applyAlignment="1">
      <alignment horizontal="left" vertical="center" wrapText="1"/>
    </xf>
    <xf numFmtId="0" fontId="2" fillId="0" borderId="10" xfId="0" applyFont="1" applyBorder="1"/>
    <xf numFmtId="171" fontId="2" fillId="0" borderId="10" xfId="27" applyNumberFormat="1"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9" fontId="7" fillId="0" borderId="6" xfId="0" applyNumberFormat="1" applyFont="1" applyBorder="1" applyAlignment="1">
      <alignment horizontal="center" vertical="center" wrapText="1"/>
    </xf>
    <xf numFmtId="0" fontId="13" fillId="0" borderId="6" xfId="0" applyFont="1" applyBorder="1" applyAlignment="1">
      <alignment horizontal="left" vertical="center" wrapText="1"/>
    </xf>
    <xf numFmtId="10" fontId="2" fillId="0" borderId="1" xfId="0" applyNumberFormat="1" applyFont="1" applyBorder="1" applyAlignment="1">
      <alignment horizontal="center" vertical="center" wrapText="1"/>
    </xf>
    <xf numFmtId="173" fontId="2" fillId="0" borderId="1" xfId="0" applyNumberFormat="1" applyFont="1" applyBorder="1" applyAlignment="1">
      <alignment horizontal="center" vertical="center" wrapText="1"/>
    </xf>
    <xf numFmtId="9" fontId="2" fillId="7" borderId="1" xfId="0" applyNumberFormat="1"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173" fontId="7" fillId="0" borderId="1" xfId="0" applyNumberFormat="1" applyFont="1" applyBorder="1" applyAlignment="1">
      <alignment horizontal="center" vertical="center" wrapText="1"/>
    </xf>
    <xf numFmtId="9" fontId="7" fillId="7" borderId="1" xfId="0" applyNumberFormat="1" applyFont="1" applyFill="1" applyBorder="1" applyAlignment="1">
      <alignment horizontal="center" vertical="center" wrapText="1"/>
    </xf>
    <xf numFmtId="9" fontId="2" fillId="0" borderId="19" xfId="0" applyNumberFormat="1" applyFont="1" applyBorder="1" applyAlignment="1">
      <alignment horizontal="center" vertical="center" wrapText="1"/>
    </xf>
    <xf numFmtId="9" fontId="2" fillId="0" borderId="20" xfId="0" applyNumberFormat="1" applyFont="1" applyBorder="1" applyAlignment="1">
      <alignment horizontal="center" vertical="center" wrapText="1"/>
    </xf>
    <xf numFmtId="9" fontId="2" fillId="0" borderId="21" xfId="0" applyNumberFormat="1" applyFont="1" applyBorder="1" applyAlignment="1">
      <alignment horizontal="center" vertical="center" wrapText="1"/>
    </xf>
    <xf numFmtId="0" fontId="11" fillId="0" borderId="16" xfId="0" applyFont="1" applyBorder="1" applyAlignment="1">
      <alignment horizontal="left" vertical="center" wrapText="1"/>
    </xf>
    <xf numFmtId="0" fontId="11" fillId="0" borderId="18" xfId="0" applyFont="1" applyBorder="1" applyAlignment="1">
      <alignment horizontal="left" vertical="center" wrapText="1"/>
    </xf>
    <xf numFmtId="0" fontId="2" fillId="9" borderId="1" xfId="0" applyFont="1" applyFill="1" applyBorder="1" applyAlignment="1">
      <alignment horizontal="center" vertical="center" wrapText="1"/>
    </xf>
    <xf numFmtId="9" fontId="2" fillId="0" borderId="16" xfId="0" applyNumberFormat="1" applyFont="1" applyBorder="1" applyAlignment="1">
      <alignment horizontal="center" vertical="center" wrapText="1"/>
    </xf>
    <xf numFmtId="9" fontId="2" fillId="0" borderId="17" xfId="0" applyNumberFormat="1" applyFont="1" applyBorder="1" applyAlignment="1">
      <alignment horizontal="center" vertical="center" wrapText="1"/>
    </xf>
    <xf numFmtId="9" fontId="2" fillId="0" borderId="18" xfId="0" applyNumberFormat="1" applyFont="1" applyBorder="1" applyAlignment="1">
      <alignment horizontal="center" vertical="center" wrapText="1"/>
    </xf>
    <xf numFmtId="9" fontId="2" fillId="0" borderId="9" xfId="0" applyNumberFormat="1" applyFont="1" applyBorder="1" applyAlignment="1">
      <alignment horizontal="center" vertical="center" wrapText="1"/>
    </xf>
    <xf numFmtId="9" fontId="11" fillId="0" borderId="1" xfId="0" applyNumberFormat="1" applyFont="1" applyBorder="1" applyAlignment="1">
      <alignment horizontal="left" vertical="center" wrapText="1"/>
    </xf>
    <xf numFmtId="9" fontId="11" fillId="0" borderId="16" xfId="0" applyNumberFormat="1" applyFont="1" applyBorder="1" applyAlignment="1">
      <alignment horizontal="left" vertical="center" wrapText="1"/>
    </xf>
    <xf numFmtId="9" fontId="11" fillId="0" borderId="17" xfId="0" applyNumberFormat="1" applyFont="1" applyBorder="1" applyAlignment="1">
      <alignment horizontal="left" vertical="center" wrapText="1"/>
    </xf>
    <xf numFmtId="9" fontId="11" fillId="0" borderId="18" xfId="0" applyNumberFormat="1"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1" fillId="11" borderId="1" xfId="0" applyFont="1" applyFill="1" applyBorder="1" applyAlignment="1">
      <alignment horizontal="lef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12" fillId="8" borderId="7" xfId="0" applyFont="1" applyFill="1" applyBorder="1" applyAlignment="1">
      <alignment horizontal="center" vertical="center"/>
    </xf>
    <xf numFmtId="0" fontId="12" fillId="8" borderId="13" xfId="0" applyFont="1" applyFill="1" applyBorder="1" applyAlignment="1">
      <alignment horizontal="center" vertical="center"/>
    </xf>
    <xf numFmtId="0" fontId="17" fillId="2" borderId="1"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12" fillId="3" borderId="7" xfId="0" applyFont="1" applyFill="1" applyBorder="1" applyAlignment="1">
      <alignment horizontal="center" vertical="center"/>
    </xf>
    <xf numFmtId="0" fontId="12" fillId="3" borderId="13"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6" borderId="14" xfId="0" applyFont="1" applyFill="1" applyBorder="1" applyAlignment="1">
      <alignment horizontal="center" vertical="center"/>
    </xf>
    <xf numFmtId="0" fontId="12" fillId="6" borderId="13" xfId="0" applyFont="1" applyFill="1" applyBorder="1" applyAlignment="1">
      <alignment horizontal="center" vertical="center"/>
    </xf>
    <xf numFmtId="0" fontId="2" fillId="0" borderId="23" xfId="0" applyFont="1" applyBorder="1" applyAlignment="1">
      <alignment horizontal="center" vertical="center" wrapText="1"/>
    </xf>
    <xf numFmtId="49" fontId="2" fillId="0" borderId="1" xfId="0" applyNumberFormat="1" applyFont="1" applyBorder="1" applyAlignment="1">
      <alignment horizontal="center" vertical="center" wrapText="1"/>
    </xf>
    <xf numFmtId="173" fontId="2" fillId="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3" borderId="23"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2" borderId="23" xfId="0" applyFont="1" applyFill="1" applyBorder="1" applyAlignment="1">
      <alignment horizontal="center" vertical="center" wrapText="1"/>
    </xf>
    <xf numFmtId="0" fontId="2" fillId="12" borderId="9" xfId="0" applyFont="1" applyFill="1" applyBorder="1" applyAlignment="1">
      <alignment horizontal="center" vertical="center" wrapText="1"/>
    </xf>
    <xf numFmtId="49" fontId="2" fillId="12" borderId="1" xfId="0" applyNumberFormat="1"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23" xfId="0" applyFont="1" applyBorder="1" applyAlignment="1">
      <alignment horizontal="center" vertical="center" wrapText="1"/>
    </xf>
    <xf numFmtId="0" fontId="7" fillId="13" borderId="23"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0" borderId="23" xfId="0" applyFont="1" applyBorder="1" applyAlignment="1">
      <alignment horizontal="left" vertical="center" wrapText="1"/>
    </xf>
    <xf numFmtId="0" fontId="2" fillId="0" borderId="22" xfId="0" applyFont="1" applyBorder="1" applyAlignment="1">
      <alignment horizontal="center" vertical="center" wrapText="1"/>
    </xf>
    <xf numFmtId="0" fontId="7" fillId="13"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13" borderId="2" xfId="0" applyFont="1" applyFill="1" applyBorder="1" applyAlignment="1">
      <alignment horizontal="left" vertical="center" wrapText="1"/>
    </xf>
    <xf numFmtId="0" fontId="2" fillId="0" borderId="1" xfId="0" applyFont="1" applyBorder="1" applyAlignment="1">
      <alignment horizontal="center" vertical="center"/>
    </xf>
    <xf numFmtId="0" fontId="2" fillId="13" borderId="2" xfId="0" applyFont="1" applyFill="1" applyBorder="1" applyAlignment="1">
      <alignment horizontal="left" vertical="center" wrapText="1"/>
    </xf>
    <xf numFmtId="0" fontId="8" fillId="13" borderId="2" xfId="0" applyFont="1" applyFill="1" applyBorder="1" applyAlignment="1">
      <alignment horizontal="left" vertical="center" wrapText="1"/>
    </xf>
    <xf numFmtId="0" fontId="2" fillId="0" borderId="2" xfId="0" applyFont="1" applyBorder="1" applyAlignment="1">
      <alignment horizontal="justify" vertical="center" wrapText="1"/>
    </xf>
    <xf numFmtId="10" fontId="2" fillId="2" borderId="1" xfId="0" applyNumberFormat="1"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23" xfId="0" applyFont="1" applyFill="1" applyBorder="1" applyAlignment="1">
      <alignment horizontal="center" vertical="center" wrapText="1"/>
    </xf>
    <xf numFmtId="0" fontId="7" fillId="1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7" fillId="0" borderId="15" xfId="0" applyFont="1" applyBorder="1" applyAlignment="1">
      <alignment horizontal="center" vertical="center" wrapText="1"/>
    </xf>
    <xf numFmtId="0" fontId="12" fillId="7" borderId="7" xfId="0" applyFont="1" applyFill="1" applyBorder="1" applyAlignment="1">
      <alignment horizontal="center" vertical="center"/>
    </xf>
    <xf numFmtId="0" fontId="12" fillId="7" borderId="13" xfId="0" applyFont="1" applyFill="1" applyBorder="1" applyAlignment="1">
      <alignment horizontal="center" vertical="center"/>
    </xf>
    <xf numFmtId="0" fontId="11" fillId="0" borderId="17" xfId="0" applyFont="1" applyBorder="1" applyAlignment="1">
      <alignment horizontal="left" vertical="center" wrapText="1"/>
    </xf>
    <xf numFmtId="9" fontId="2" fillId="0" borderId="23" xfId="0" applyNumberFormat="1" applyFont="1" applyBorder="1" applyAlignment="1">
      <alignment horizontal="center" vertical="center" wrapText="1"/>
    </xf>
    <xf numFmtId="9" fontId="2" fillId="15"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wrapText="1"/>
    </xf>
    <xf numFmtId="0" fontId="12" fillId="16" borderId="7" xfId="0" applyFont="1" applyFill="1" applyBorder="1" applyAlignment="1">
      <alignment horizontal="center" vertical="center"/>
    </xf>
    <xf numFmtId="0" fontId="12" fillId="16" borderId="13" xfId="0" applyFont="1" applyFill="1" applyBorder="1" applyAlignment="1">
      <alignment horizontal="center" vertical="center"/>
    </xf>
    <xf numFmtId="0" fontId="12" fillId="16" borderId="8" xfId="0" applyFont="1" applyFill="1" applyBorder="1" applyAlignment="1">
      <alignment horizontal="center" vertical="center"/>
    </xf>
    <xf numFmtId="0" fontId="11" fillId="2" borderId="24"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7" xfId="0" applyFont="1" applyBorder="1" applyAlignment="1">
      <alignment horizontal="left" vertical="center" wrapText="1"/>
    </xf>
    <xf numFmtId="0" fontId="2"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9" fontId="11" fillId="0" borderId="24" xfId="0" applyNumberFormat="1" applyFont="1" applyBorder="1" applyAlignment="1">
      <alignment horizontal="left" vertical="center" wrapText="1"/>
    </xf>
    <xf numFmtId="9" fontId="11" fillId="0" borderId="25" xfId="0" applyNumberFormat="1" applyFont="1" applyBorder="1" applyAlignment="1">
      <alignment horizontal="left" vertical="center" wrapText="1"/>
    </xf>
    <xf numFmtId="9" fontId="11" fillId="0" borderId="27" xfId="0" applyNumberFormat="1" applyFont="1" applyBorder="1" applyAlignment="1">
      <alignment horizontal="left" vertical="center" wrapText="1"/>
    </xf>
  </cellXfs>
  <cellStyles count="43">
    <cellStyle name="Millares [0] 2" xfId="1" xr:uid="{00000000-0005-0000-0000-000000000000}"/>
    <cellStyle name="Millares 10" xfId="2" xr:uid="{00000000-0005-0000-0000-000001000000}"/>
    <cellStyle name="Millares 11" xfId="3" xr:uid="{00000000-0005-0000-0000-000002000000}"/>
    <cellStyle name="Millares 12" xfId="4" xr:uid="{00000000-0005-0000-0000-000003000000}"/>
    <cellStyle name="Millares 13" xfId="5" xr:uid="{00000000-0005-0000-0000-000004000000}"/>
    <cellStyle name="Millares 14" xfId="6" xr:uid="{00000000-0005-0000-0000-000005000000}"/>
    <cellStyle name="Millares 15" xfId="7" xr:uid="{00000000-0005-0000-0000-000006000000}"/>
    <cellStyle name="Millares 16" xfId="8" xr:uid="{00000000-0005-0000-0000-000007000000}"/>
    <cellStyle name="Millares 17" xfId="9" xr:uid="{00000000-0005-0000-0000-000008000000}"/>
    <cellStyle name="Millares 18" xfId="10" xr:uid="{00000000-0005-0000-0000-000009000000}"/>
    <cellStyle name="Millares 19" xfId="11" xr:uid="{00000000-0005-0000-0000-00000A000000}"/>
    <cellStyle name="Millares 2" xfId="12" xr:uid="{00000000-0005-0000-0000-00000B000000}"/>
    <cellStyle name="Millares 2 2" xfId="13" xr:uid="{00000000-0005-0000-0000-00000C000000}"/>
    <cellStyle name="Millares 2 3" xfId="14" xr:uid="{00000000-0005-0000-0000-00000D000000}"/>
    <cellStyle name="Millares 3" xfId="15" xr:uid="{00000000-0005-0000-0000-00000E000000}"/>
    <cellStyle name="Millares 3 2" xfId="16" xr:uid="{00000000-0005-0000-0000-00000F000000}"/>
    <cellStyle name="Millares 4" xfId="17" xr:uid="{00000000-0005-0000-0000-000010000000}"/>
    <cellStyle name="Millares 4 2" xfId="18" xr:uid="{00000000-0005-0000-0000-000011000000}"/>
    <cellStyle name="Millares 5" xfId="19" xr:uid="{00000000-0005-0000-0000-000012000000}"/>
    <cellStyle name="Millares 6" xfId="20" xr:uid="{00000000-0005-0000-0000-000013000000}"/>
    <cellStyle name="Millares 7" xfId="21" xr:uid="{00000000-0005-0000-0000-000014000000}"/>
    <cellStyle name="Millares 8" xfId="22" xr:uid="{00000000-0005-0000-0000-000015000000}"/>
    <cellStyle name="Millares 9" xfId="23" xr:uid="{00000000-0005-0000-0000-000016000000}"/>
    <cellStyle name="Moneda 2" xfId="24" xr:uid="{00000000-0005-0000-0000-000017000000}"/>
    <cellStyle name="Moneda 2 2" xfId="25" xr:uid="{00000000-0005-0000-0000-000018000000}"/>
    <cellStyle name="Moneda 2 3" xfId="26" xr:uid="{00000000-0005-0000-0000-000019000000}"/>
    <cellStyle name="Moneda 20" xfId="27" xr:uid="{00000000-0005-0000-0000-00001A000000}"/>
    <cellStyle name="Moneda 21" xfId="28" xr:uid="{00000000-0005-0000-0000-00001B000000}"/>
    <cellStyle name="Moneda 3" xfId="29" xr:uid="{00000000-0005-0000-0000-00001C000000}"/>
    <cellStyle name="Moneda 3 2" xfId="30" xr:uid="{00000000-0005-0000-0000-00001D000000}"/>
    <cellStyle name="Moneda 4" xfId="31" xr:uid="{00000000-0005-0000-0000-00001E000000}"/>
    <cellStyle name="Moneda 4 2" xfId="32" xr:uid="{00000000-0005-0000-0000-00001F000000}"/>
    <cellStyle name="Moneda 5" xfId="33" xr:uid="{00000000-0005-0000-0000-000020000000}"/>
    <cellStyle name="Moneda 5 2" xfId="34" xr:uid="{00000000-0005-0000-0000-000021000000}"/>
    <cellStyle name="Moneda 6" xfId="35" xr:uid="{00000000-0005-0000-0000-000022000000}"/>
    <cellStyle name="Moneda 6 2" xfId="36" xr:uid="{00000000-0005-0000-0000-000023000000}"/>
    <cellStyle name="Moneda 6 3" xfId="37" xr:uid="{00000000-0005-0000-0000-000024000000}"/>
    <cellStyle name="Moneda 7" xfId="38" xr:uid="{00000000-0005-0000-0000-000025000000}"/>
    <cellStyle name="Neutral" xfId="42" builtinId="28"/>
    <cellStyle name="Normal" xfId="0" builtinId="0"/>
    <cellStyle name="Normal 2" xfId="39" xr:uid="{00000000-0005-0000-0000-000028000000}"/>
    <cellStyle name="Normal 2 2" xfId="40" xr:uid="{00000000-0005-0000-0000-000029000000}"/>
    <cellStyle name="Normal 8" xfId="41" xr:uid="{00000000-0005-0000-0000-00002A000000}"/>
  </cellStyles>
  <dxfs count="190">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s>
  <tableStyles count="0" defaultTableStyle="TableStyleMedium9" defaultPivotStyle="PivotStyleLight16"/>
  <colors>
    <mruColors>
      <color rgb="FF33CCFF"/>
      <color rgb="FF33CC33"/>
      <color rgb="FF66FF66"/>
      <color rgb="FF66FFCC"/>
      <color rgb="FFCC0000"/>
      <color rgb="FF599FA5"/>
      <color rgb="FFEAB200"/>
      <color rgb="FFCC6600"/>
      <color rgb="FF008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563217</xdr:colOff>
      <xdr:row>0</xdr:row>
      <xdr:rowOff>33132</xdr:rowOff>
    </xdr:from>
    <xdr:to>
      <xdr:col>1</xdr:col>
      <xdr:colOff>877956</xdr:colOff>
      <xdr:row>1</xdr:row>
      <xdr:rowOff>248480</xdr:rowOff>
    </xdr:to>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217" y="33132"/>
          <a:ext cx="877956" cy="58806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22"/>
  <sheetViews>
    <sheetView showGridLines="0" tabSelected="1" topLeftCell="B1" zoomScaleNormal="100" zoomScaleSheetLayoutView="85" workbookViewId="0">
      <selection activeCell="B10" sqref="B10:B14"/>
    </sheetView>
  </sheetViews>
  <sheetFormatPr baseColWidth="10" defaultColWidth="10.85546875" defaultRowHeight="15.75" x14ac:dyDescent="0.25"/>
  <cols>
    <col min="1" max="1" width="31" style="2" hidden="1" customWidth="1"/>
    <col min="2" max="2" width="16.5703125" style="1" customWidth="1"/>
    <col min="3" max="3" width="13.5703125" style="1" customWidth="1"/>
    <col min="4" max="4" width="23" style="1" customWidth="1"/>
    <col min="5" max="5" width="28" style="1" customWidth="1"/>
    <col min="6" max="6" width="21.85546875" style="1" customWidth="1"/>
    <col min="7" max="7" width="69.5703125" style="2" customWidth="1"/>
    <col min="8" max="9" width="17.140625" style="20" customWidth="1"/>
    <col min="10" max="10" width="33.28515625" style="2" customWidth="1"/>
    <col min="11" max="11" width="26.7109375" style="2" customWidth="1"/>
    <col min="12" max="14" width="26.28515625" style="1" customWidth="1"/>
    <col min="15" max="17" width="17.28515625" style="1" customWidth="1"/>
    <col min="18" max="18" width="59.42578125" style="1" customWidth="1"/>
    <col min="19" max="19" width="40.7109375" style="1" customWidth="1"/>
    <col min="20" max="22" width="26.28515625" style="1" customWidth="1"/>
    <col min="23" max="25" width="17.28515625" style="1" customWidth="1"/>
    <col min="26" max="26" width="78.28515625" style="1" customWidth="1"/>
    <col min="27" max="27" width="47.5703125" style="1" customWidth="1"/>
    <col min="28" max="30" width="26.28515625" style="3" customWidth="1"/>
    <col min="31" max="33" width="17.28515625" style="3" customWidth="1"/>
    <col min="34" max="34" width="78.28515625" style="3" customWidth="1"/>
    <col min="35" max="35" width="47.5703125" style="3" customWidth="1"/>
    <col min="36" max="38" width="26.28515625" style="3" customWidth="1"/>
    <col min="39" max="41" width="17.28515625" style="3" customWidth="1"/>
    <col min="42" max="42" width="78.28515625" style="3" customWidth="1"/>
    <col min="43" max="43" width="47.5703125" style="3" customWidth="1"/>
    <col min="44" max="44" width="65.85546875" style="3" customWidth="1"/>
    <col min="45" max="16384" width="10.85546875" style="3"/>
  </cols>
  <sheetData>
    <row r="1" spans="1:44" ht="29.25" customHeight="1" thickBot="1" x14ac:dyDescent="0.3">
      <c r="A1" s="30"/>
      <c r="B1" s="31"/>
      <c r="C1" s="25"/>
      <c r="D1" s="26"/>
      <c r="E1" s="26"/>
      <c r="F1" s="26"/>
      <c r="G1" s="26"/>
      <c r="H1" s="26"/>
      <c r="I1" s="26"/>
      <c r="J1" s="26"/>
      <c r="K1" s="26"/>
      <c r="L1" s="26"/>
      <c r="M1" s="26"/>
      <c r="N1" s="26" t="s">
        <v>610</v>
      </c>
      <c r="O1" s="26"/>
      <c r="P1" s="26"/>
      <c r="Q1" s="26"/>
      <c r="R1" s="26"/>
      <c r="S1" s="26"/>
      <c r="T1" s="26"/>
      <c r="U1" s="26"/>
      <c r="V1" s="26"/>
      <c r="W1" s="26"/>
      <c r="X1" s="26"/>
      <c r="Y1" s="26"/>
      <c r="Z1" s="26"/>
      <c r="AA1" s="26"/>
    </row>
    <row r="2" spans="1:44" ht="21.75" customHeight="1" thickBot="1" x14ac:dyDescent="0.3">
      <c r="A2" s="32"/>
      <c r="B2" s="151" t="s">
        <v>583</v>
      </c>
      <c r="C2" s="152"/>
      <c r="D2" s="152"/>
      <c r="E2" s="152"/>
      <c r="F2" s="152"/>
      <c r="G2" s="152"/>
      <c r="H2" s="152"/>
      <c r="I2" s="152"/>
      <c r="J2" s="152"/>
      <c r="K2" s="152"/>
      <c r="L2" s="154" t="s">
        <v>1029</v>
      </c>
      <c r="M2" s="155"/>
      <c r="N2" s="155"/>
      <c r="O2" s="155"/>
      <c r="P2" s="155"/>
      <c r="Q2" s="155"/>
      <c r="R2" s="155"/>
      <c r="S2" s="155"/>
      <c r="T2" s="144" t="s">
        <v>1028</v>
      </c>
      <c r="U2" s="145"/>
      <c r="V2" s="145"/>
      <c r="W2" s="145"/>
      <c r="X2" s="145"/>
      <c r="Y2" s="145"/>
      <c r="Z2" s="145"/>
      <c r="AA2" s="145"/>
      <c r="AB2" s="194" t="s">
        <v>1027</v>
      </c>
      <c r="AC2" s="195"/>
      <c r="AD2" s="195"/>
      <c r="AE2" s="195"/>
      <c r="AF2" s="195"/>
      <c r="AG2" s="195"/>
      <c r="AH2" s="195"/>
      <c r="AI2" s="195"/>
      <c r="AJ2" s="200" t="s">
        <v>1561</v>
      </c>
      <c r="AK2" s="201"/>
      <c r="AL2" s="201"/>
      <c r="AM2" s="201"/>
      <c r="AN2" s="201"/>
      <c r="AO2" s="201"/>
      <c r="AP2" s="201"/>
      <c r="AQ2" s="201"/>
      <c r="AR2" s="202"/>
    </row>
    <row r="3" spans="1:44" ht="17.25" hidden="1" customHeight="1" thickBot="1" x14ac:dyDescent="0.3">
      <c r="A3" s="32"/>
      <c r="B3" s="93"/>
      <c r="C3" s="86"/>
      <c r="D3" s="86"/>
      <c r="E3" s="86"/>
      <c r="F3" s="86"/>
      <c r="G3" s="87"/>
      <c r="H3" s="88"/>
      <c r="I3" s="88"/>
      <c r="J3" s="87"/>
      <c r="K3" s="87"/>
      <c r="L3" s="84"/>
      <c r="M3" s="48"/>
      <c r="N3" s="48"/>
      <c r="O3" s="48"/>
      <c r="P3" s="48"/>
      <c r="Q3" s="48"/>
      <c r="R3" s="48"/>
      <c r="S3" s="48"/>
      <c r="T3" s="39"/>
      <c r="U3" s="40"/>
      <c r="V3" s="40"/>
      <c r="W3" s="40"/>
      <c r="X3" s="40"/>
      <c r="Y3" s="40"/>
      <c r="Z3" s="40"/>
      <c r="AA3" s="40"/>
      <c r="AB3" s="63"/>
      <c r="AC3" s="64"/>
      <c r="AD3" s="64"/>
      <c r="AE3" s="64"/>
      <c r="AF3" s="64"/>
      <c r="AG3" s="64"/>
      <c r="AH3" s="64"/>
      <c r="AI3" s="64"/>
      <c r="AJ3" s="72"/>
      <c r="AK3" s="73"/>
      <c r="AL3" s="73"/>
      <c r="AM3" s="73"/>
      <c r="AN3" s="73"/>
      <c r="AO3" s="73"/>
      <c r="AP3" s="73"/>
      <c r="AQ3" s="73"/>
      <c r="AR3" s="74"/>
    </row>
    <row r="4" spans="1:44" s="4" customFormat="1" ht="47.25" customHeight="1" x14ac:dyDescent="0.25">
      <c r="A4" s="83" t="s">
        <v>1</v>
      </c>
      <c r="B4" s="94" t="s">
        <v>0</v>
      </c>
      <c r="C4" s="89" t="s">
        <v>903</v>
      </c>
      <c r="D4" s="89" t="s">
        <v>611</v>
      </c>
      <c r="E4" s="89" t="s">
        <v>4</v>
      </c>
      <c r="F4" s="89" t="s">
        <v>2</v>
      </c>
      <c r="G4" s="89" t="s">
        <v>60</v>
      </c>
      <c r="H4" s="90" t="s">
        <v>58</v>
      </c>
      <c r="I4" s="90" t="s">
        <v>59</v>
      </c>
      <c r="J4" s="91" t="s">
        <v>3</v>
      </c>
      <c r="K4" s="89" t="s">
        <v>5</v>
      </c>
      <c r="L4" s="85" t="s">
        <v>453</v>
      </c>
      <c r="M4" s="38" t="s">
        <v>918</v>
      </c>
      <c r="N4" s="38" t="s">
        <v>920</v>
      </c>
      <c r="O4" s="38" t="s">
        <v>921</v>
      </c>
      <c r="P4" s="38" t="s">
        <v>915</v>
      </c>
      <c r="Q4" s="38" t="s">
        <v>922</v>
      </c>
      <c r="R4" s="38" t="s">
        <v>923</v>
      </c>
      <c r="S4" s="38" t="s">
        <v>924</v>
      </c>
      <c r="T4" s="41" t="s">
        <v>453</v>
      </c>
      <c r="U4" s="42" t="s">
        <v>917</v>
      </c>
      <c r="V4" s="42" t="s">
        <v>919</v>
      </c>
      <c r="W4" s="42" t="s">
        <v>916</v>
      </c>
      <c r="X4" s="42" t="s">
        <v>915</v>
      </c>
      <c r="Y4" s="42" t="s">
        <v>965</v>
      </c>
      <c r="Z4" s="42" t="s">
        <v>914</v>
      </c>
      <c r="AA4" s="42" t="s">
        <v>913</v>
      </c>
      <c r="AB4" s="65" t="s">
        <v>453</v>
      </c>
      <c r="AC4" s="66" t="s">
        <v>1053</v>
      </c>
      <c r="AD4" s="66" t="s">
        <v>1061</v>
      </c>
      <c r="AE4" s="66" t="s">
        <v>1062</v>
      </c>
      <c r="AF4" s="66" t="s">
        <v>915</v>
      </c>
      <c r="AG4" s="66" t="s">
        <v>965</v>
      </c>
      <c r="AH4" s="66" t="s">
        <v>1030</v>
      </c>
      <c r="AI4" s="66" t="s">
        <v>1031</v>
      </c>
      <c r="AJ4" s="75" t="s">
        <v>453</v>
      </c>
      <c r="AK4" s="76" t="s">
        <v>1286</v>
      </c>
      <c r="AL4" s="76" t="s">
        <v>1287</v>
      </c>
      <c r="AM4" s="76" t="s">
        <v>1288</v>
      </c>
      <c r="AN4" s="76" t="s">
        <v>915</v>
      </c>
      <c r="AO4" s="76" t="s">
        <v>965</v>
      </c>
      <c r="AP4" s="76" t="s">
        <v>1289</v>
      </c>
      <c r="AQ4" s="76" t="s">
        <v>1290</v>
      </c>
      <c r="AR4" s="77" t="s">
        <v>1285</v>
      </c>
    </row>
    <row r="5" spans="1:44" ht="27" customHeight="1" x14ac:dyDescent="0.25">
      <c r="A5" s="147" t="s">
        <v>96</v>
      </c>
      <c r="B5" s="148" t="s">
        <v>22</v>
      </c>
      <c r="C5" s="149" t="s">
        <v>905</v>
      </c>
      <c r="D5" s="99" t="s">
        <v>1008</v>
      </c>
      <c r="E5" s="99" t="s">
        <v>348</v>
      </c>
      <c r="F5" s="99" t="s">
        <v>62</v>
      </c>
      <c r="G5" s="12" t="s">
        <v>384</v>
      </c>
      <c r="H5" s="14">
        <v>43466</v>
      </c>
      <c r="I5" s="14">
        <v>43480</v>
      </c>
      <c r="J5" s="33" t="s">
        <v>23</v>
      </c>
      <c r="K5" s="153" t="s">
        <v>308</v>
      </c>
      <c r="L5" s="108" t="s">
        <v>153</v>
      </c>
      <c r="M5" s="105" t="s">
        <v>481</v>
      </c>
      <c r="N5" s="105" t="s">
        <v>482</v>
      </c>
      <c r="O5" s="98" t="str">
        <f>IFERROR((1/0),"No aplica")</f>
        <v>No aplica</v>
      </c>
      <c r="P5" s="150">
        <f>1/3</f>
        <v>0.33333333333333331</v>
      </c>
      <c r="Q5" s="99" t="s">
        <v>458</v>
      </c>
      <c r="R5" s="104" t="s">
        <v>455</v>
      </c>
      <c r="S5" s="104" t="s">
        <v>454</v>
      </c>
      <c r="T5" s="106" t="s">
        <v>153</v>
      </c>
      <c r="U5" s="105" t="s">
        <v>482</v>
      </c>
      <c r="V5" s="105" t="s">
        <v>481</v>
      </c>
      <c r="W5" s="98">
        <f>IFERROR((0/1),"No aplica")</f>
        <v>0</v>
      </c>
      <c r="X5" s="98">
        <f>1/3</f>
        <v>0.33333333333333331</v>
      </c>
      <c r="Y5" s="99" t="s">
        <v>458</v>
      </c>
      <c r="Z5" s="104" t="s">
        <v>730</v>
      </c>
      <c r="AA5" s="104" t="s">
        <v>731</v>
      </c>
      <c r="AB5" s="106" t="s">
        <v>153</v>
      </c>
      <c r="AC5" s="105" t="s">
        <v>482</v>
      </c>
      <c r="AD5" s="105" t="s">
        <v>482</v>
      </c>
      <c r="AE5" s="98">
        <f>IFERROR((1/1),"No aplica")</f>
        <v>1</v>
      </c>
      <c r="AF5" s="98">
        <f>2/3</f>
        <v>0.66666666666666663</v>
      </c>
      <c r="AG5" s="99" t="s">
        <v>458</v>
      </c>
      <c r="AH5" s="104" t="s">
        <v>1143</v>
      </c>
      <c r="AI5" s="104" t="s">
        <v>1072</v>
      </c>
      <c r="AJ5" s="106" t="s">
        <v>153</v>
      </c>
      <c r="AK5" s="105" t="s">
        <v>482</v>
      </c>
      <c r="AL5" s="105" t="s">
        <v>1559</v>
      </c>
      <c r="AM5" s="98">
        <f>IFERROR((3/1),"No aplica")</f>
        <v>3</v>
      </c>
      <c r="AN5" s="98">
        <f>5/3</f>
        <v>1.6666666666666667</v>
      </c>
      <c r="AO5" s="99" t="s">
        <v>468</v>
      </c>
      <c r="AP5" s="104" t="s">
        <v>1479</v>
      </c>
      <c r="AQ5" s="104" t="s">
        <v>1432</v>
      </c>
      <c r="AR5" s="203" t="s">
        <v>1291</v>
      </c>
    </row>
    <row r="6" spans="1:44" ht="27" customHeight="1" x14ac:dyDescent="0.25">
      <c r="A6" s="147"/>
      <c r="B6" s="148"/>
      <c r="C6" s="149"/>
      <c r="D6" s="99"/>
      <c r="E6" s="99"/>
      <c r="F6" s="99"/>
      <c r="G6" s="12" t="s">
        <v>63</v>
      </c>
      <c r="H6" s="14">
        <v>43466</v>
      </c>
      <c r="I6" s="14">
        <v>43495</v>
      </c>
      <c r="J6" s="33" t="s">
        <v>23</v>
      </c>
      <c r="K6" s="153"/>
      <c r="L6" s="108"/>
      <c r="M6" s="105"/>
      <c r="N6" s="105"/>
      <c r="O6" s="98"/>
      <c r="P6" s="150"/>
      <c r="Q6" s="99"/>
      <c r="R6" s="104"/>
      <c r="S6" s="104"/>
      <c r="T6" s="106"/>
      <c r="U6" s="105"/>
      <c r="V6" s="105"/>
      <c r="W6" s="98"/>
      <c r="X6" s="98"/>
      <c r="Y6" s="99"/>
      <c r="Z6" s="104"/>
      <c r="AA6" s="104"/>
      <c r="AB6" s="106"/>
      <c r="AC6" s="105"/>
      <c r="AD6" s="105"/>
      <c r="AE6" s="98"/>
      <c r="AF6" s="98"/>
      <c r="AG6" s="99"/>
      <c r="AH6" s="104"/>
      <c r="AI6" s="104"/>
      <c r="AJ6" s="106"/>
      <c r="AK6" s="105"/>
      <c r="AL6" s="105"/>
      <c r="AM6" s="98"/>
      <c r="AN6" s="98"/>
      <c r="AO6" s="99"/>
      <c r="AP6" s="104"/>
      <c r="AQ6" s="104"/>
      <c r="AR6" s="204"/>
    </row>
    <row r="7" spans="1:44" ht="27" customHeight="1" x14ac:dyDescent="0.25">
      <c r="A7" s="147"/>
      <c r="B7" s="148"/>
      <c r="C7" s="149"/>
      <c r="D7" s="99"/>
      <c r="E7" s="99"/>
      <c r="F7" s="99"/>
      <c r="G7" s="12" t="s">
        <v>64</v>
      </c>
      <c r="H7" s="14">
        <v>43497</v>
      </c>
      <c r="I7" s="14">
        <v>43830</v>
      </c>
      <c r="J7" s="33" t="s">
        <v>23</v>
      </c>
      <c r="K7" s="153"/>
      <c r="L7" s="108"/>
      <c r="M7" s="105"/>
      <c r="N7" s="105"/>
      <c r="O7" s="98"/>
      <c r="P7" s="150"/>
      <c r="Q7" s="99"/>
      <c r="R7" s="104"/>
      <c r="S7" s="104"/>
      <c r="T7" s="106"/>
      <c r="U7" s="105"/>
      <c r="V7" s="105"/>
      <c r="W7" s="98"/>
      <c r="X7" s="98"/>
      <c r="Y7" s="99"/>
      <c r="Z7" s="104"/>
      <c r="AA7" s="104"/>
      <c r="AB7" s="106"/>
      <c r="AC7" s="105"/>
      <c r="AD7" s="105"/>
      <c r="AE7" s="98"/>
      <c r="AF7" s="98"/>
      <c r="AG7" s="99"/>
      <c r="AH7" s="104"/>
      <c r="AI7" s="104"/>
      <c r="AJ7" s="106"/>
      <c r="AK7" s="105"/>
      <c r="AL7" s="105"/>
      <c r="AM7" s="98"/>
      <c r="AN7" s="98"/>
      <c r="AO7" s="99"/>
      <c r="AP7" s="104"/>
      <c r="AQ7" s="104"/>
      <c r="AR7" s="204"/>
    </row>
    <row r="8" spans="1:44" ht="27" customHeight="1" x14ac:dyDescent="0.25">
      <c r="A8" s="147"/>
      <c r="B8" s="148"/>
      <c r="C8" s="149"/>
      <c r="D8" s="99"/>
      <c r="E8" s="99"/>
      <c r="F8" s="99"/>
      <c r="G8" s="12" t="s">
        <v>65</v>
      </c>
      <c r="H8" s="14">
        <v>43497</v>
      </c>
      <c r="I8" s="14">
        <v>43830</v>
      </c>
      <c r="J8" s="33" t="s">
        <v>23</v>
      </c>
      <c r="K8" s="153"/>
      <c r="L8" s="108"/>
      <c r="M8" s="105"/>
      <c r="N8" s="105"/>
      <c r="O8" s="98"/>
      <c r="P8" s="150"/>
      <c r="Q8" s="99"/>
      <c r="R8" s="104"/>
      <c r="S8" s="104"/>
      <c r="T8" s="106"/>
      <c r="U8" s="105"/>
      <c r="V8" s="105"/>
      <c r="W8" s="98"/>
      <c r="X8" s="98"/>
      <c r="Y8" s="99"/>
      <c r="Z8" s="104"/>
      <c r="AA8" s="104"/>
      <c r="AB8" s="106"/>
      <c r="AC8" s="105"/>
      <c r="AD8" s="105"/>
      <c r="AE8" s="98"/>
      <c r="AF8" s="98"/>
      <c r="AG8" s="99"/>
      <c r="AH8" s="104"/>
      <c r="AI8" s="104"/>
      <c r="AJ8" s="106"/>
      <c r="AK8" s="105"/>
      <c r="AL8" s="105"/>
      <c r="AM8" s="98"/>
      <c r="AN8" s="98"/>
      <c r="AO8" s="99"/>
      <c r="AP8" s="104"/>
      <c r="AQ8" s="104"/>
      <c r="AR8" s="204"/>
    </row>
    <row r="9" spans="1:44" ht="27" customHeight="1" x14ac:dyDescent="0.25">
      <c r="A9" s="147"/>
      <c r="B9" s="148"/>
      <c r="C9" s="149"/>
      <c r="D9" s="99"/>
      <c r="E9" s="99"/>
      <c r="F9" s="99"/>
      <c r="G9" s="12" t="s">
        <v>807</v>
      </c>
      <c r="H9" s="14">
        <v>43525</v>
      </c>
      <c r="I9" s="14">
        <v>43830</v>
      </c>
      <c r="J9" s="33" t="s">
        <v>23</v>
      </c>
      <c r="K9" s="153"/>
      <c r="L9" s="108"/>
      <c r="M9" s="105"/>
      <c r="N9" s="105"/>
      <c r="O9" s="98"/>
      <c r="P9" s="150"/>
      <c r="Q9" s="99"/>
      <c r="R9" s="104"/>
      <c r="S9" s="104"/>
      <c r="T9" s="106"/>
      <c r="U9" s="105"/>
      <c r="V9" s="105"/>
      <c r="W9" s="98"/>
      <c r="X9" s="98"/>
      <c r="Y9" s="99"/>
      <c r="Z9" s="104"/>
      <c r="AA9" s="104"/>
      <c r="AB9" s="106"/>
      <c r="AC9" s="105"/>
      <c r="AD9" s="105"/>
      <c r="AE9" s="98"/>
      <c r="AF9" s="98"/>
      <c r="AG9" s="99"/>
      <c r="AH9" s="104"/>
      <c r="AI9" s="104"/>
      <c r="AJ9" s="106"/>
      <c r="AK9" s="105"/>
      <c r="AL9" s="105"/>
      <c r="AM9" s="98"/>
      <c r="AN9" s="98"/>
      <c r="AO9" s="99"/>
      <c r="AP9" s="104"/>
      <c r="AQ9" s="104"/>
      <c r="AR9" s="205"/>
    </row>
    <row r="10" spans="1:44" ht="45" customHeight="1" x14ac:dyDescent="0.25">
      <c r="A10" s="147" t="s">
        <v>96</v>
      </c>
      <c r="B10" s="148" t="s">
        <v>22</v>
      </c>
      <c r="C10" s="149" t="s">
        <v>906</v>
      </c>
      <c r="D10" s="99" t="s">
        <v>1009</v>
      </c>
      <c r="E10" s="99">
        <v>0</v>
      </c>
      <c r="F10" s="99" t="s">
        <v>67</v>
      </c>
      <c r="G10" s="12" t="s">
        <v>808</v>
      </c>
      <c r="H10" s="14">
        <v>43497</v>
      </c>
      <c r="I10" s="14">
        <v>43585</v>
      </c>
      <c r="J10" s="33" t="s">
        <v>23</v>
      </c>
      <c r="K10" s="153" t="s">
        <v>308</v>
      </c>
      <c r="L10" s="108" t="s">
        <v>154</v>
      </c>
      <c r="M10" s="105" t="s">
        <v>456</v>
      </c>
      <c r="N10" s="105" t="s">
        <v>456</v>
      </c>
      <c r="O10" s="98" t="str">
        <f>IFERROR((0/0),"No aplica")</f>
        <v>No aplica</v>
      </c>
      <c r="P10" s="150">
        <f>IFERROR((0/4),"No aplica")</f>
        <v>0</v>
      </c>
      <c r="Q10" s="99" t="s">
        <v>457</v>
      </c>
      <c r="R10" s="104" t="s">
        <v>809</v>
      </c>
      <c r="S10" s="102" t="s">
        <v>605</v>
      </c>
      <c r="T10" s="106" t="s">
        <v>154</v>
      </c>
      <c r="U10" s="105" t="s">
        <v>700</v>
      </c>
      <c r="V10" s="105" t="s">
        <v>701</v>
      </c>
      <c r="W10" s="98">
        <f>IFERROR((0/1),"No aplica")</f>
        <v>0</v>
      </c>
      <c r="X10" s="98">
        <f>IFERROR((0/4),"No aplica")</f>
        <v>0</v>
      </c>
      <c r="Y10" s="99" t="s">
        <v>474</v>
      </c>
      <c r="Z10" s="104" t="s">
        <v>699</v>
      </c>
      <c r="AA10" s="102" t="s">
        <v>797</v>
      </c>
      <c r="AB10" s="106" t="s">
        <v>154</v>
      </c>
      <c r="AC10" s="105" t="s">
        <v>1076</v>
      </c>
      <c r="AD10" s="105" t="s">
        <v>1076</v>
      </c>
      <c r="AE10" s="98">
        <f>IFERROR((2/2),"No aplica")</f>
        <v>1</v>
      </c>
      <c r="AF10" s="98">
        <f>IFERROR((2/4),"No aplica")</f>
        <v>0.5</v>
      </c>
      <c r="AG10" s="99" t="s">
        <v>531</v>
      </c>
      <c r="AH10" s="104" t="s">
        <v>1073</v>
      </c>
      <c r="AI10" s="102" t="s">
        <v>1179</v>
      </c>
      <c r="AJ10" s="106" t="s">
        <v>154</v>
      </c>
      <c r="AK10" s="105" t="s">
        <v>700</v>
      </c>
      <c r="AL10" s="105" t="s">
        <v>700</v>
      </c>
      <c r="AM10" s="98">
        <f>IFERROR((1/1),"No aplica")</f>
        <v>1</v>
      </c>
      <c r="AN10" s="98">
        <f>IFERROR((3/4),"No aplica")</f>
        <v>0.75</v>
      </c>
      <c r="AO10" s="99" t="s">
        <v>601</v>
      </c>
      <c r="AP10" s="104" t="s">
        <v>1480</v>
      </c>
      <c r="AQ10" s="102" t="s">
        <v>1434</v>
      </c>
      <c r="AR10" s="206" t="s">
        <v>1292</v>
      </c>
    </row>
    <row r="11" spans="1:44" ht="45" customHeight="1" x14ac:dyDescent="0.25">
      <c r="A11" s="147"/>
      <c r="B11" s="148"/>
      <c r="C11" s="149"/>
      <c r="D11" s="99"/>
      <c r="E11" s="99"/>
      <c r="F11" s="99"/>
      <c r="G11" s="43" t="s">
        <v>810</v>
      </c>
      <c r="H11" s="15">
        <v>43586</v>
      </c>
      <c r="I11" s="15" t="s">
        <v>111</v>
      </c>
      <c r="J11" s="33" t="s">
        <v>23</v>
      </c>
      <c r="K11" s="153"/>
      <c r="L11" s="108"/>
      <c r="M11" s="105"/>
      <c r="N11" s="105"/>
      <c r="O11" s="98"/>
      <c r="P11" s="150"/>
      <c r="Q11" s="99"/>
      <c r="R11" s="104"/>
      <c r="S11" s="102"/>
      <c r="T11" s="106"/>
      <c r="U11" s="105"/>
      <c r="V11" s="105"/>
      <c r="W11" s="98"/>
      <c r="X11" s="98"/>
      <c r="Y11" s="99"/>
      <c r="Z11" s="104"/>
      <c r="AA11" s="102"/>
      <c r="AB11" s="106"/>
      <c r="AC11" s="105"/>
      <c r="AD11" s="105"/>
      <c r="AE11" s="98"/>
      <c r="AF11" s="98"/>
      <c r="AG11" s="99"/>
      <c r="AH11" s="104"/>
      <c r="AI11" s="102"/>
      <c r="AJ11" s="106"/>
      <c r="AK11" s="105"/>
      <c r="AL11" s="105"/>
      <c r="AM11" s="98"/>
      <c r="AN11" s="98"/>
      <c r="AO11" s="99"/>
      <c r="AP11" s="104"/>
      <c r="AQ11" s="102"/>
      <c r="AR11" s="207"/>
    </row>
    <row r="12" spans="1:44" ht="45" customHeight="1" x14ac:dyDescent="0.25">
      <c r="A12" s="147"/>
      <c r="B12" s="148"/>
      <c r="C12" s="149"/>
      <c r="D12" s="99"/>
      <c r="E12" s="99"/>
      <c r="F12" s="99"/>
      <c r="G12" s="12" t="s">
        <v>155</v>
      </c>
      <c r="H12" s="14">
        <v>43617</v>
      </c>
      <c r="I12" s="14">
        <v>43830</v>
      </c>
      <c r="J12" s="33" t="s">
        <v>23</v>
      </c>
      <c r="K12" s="153"/>
      <c r="L12" s="108"/>
      <c r="M12" s="105"/>
      <c r="N12" s="105"/>
      <c r="O12" s="98"/>
      <c r="P12" s="150"/>
      <c r="Q12" s="99"/>
      <c r="R12" s="104"/>
      <c r="S12" s="102"/>
      <c r="T12" s="106"/>
      <c r="U12" s="105"/>
      <c r="V12" s="105"/>
      <c r="W12" s="98"/>
      <c r="X12" s="98"/>
      <c r="Y12" s="99"/>
      <c r="Z12" s="104"/>
      <c r="AA12" s="102"/>
      <c r="AB12" s="106"/>
      <c r="AC12" s="105"/>
      <c r="AD12" s="105"/>
      <c r="AE12" s="98"/>
      <c r="AF12" s="98"/>
      <c r="AG12" s="99"/>
      <c r="AH12" s="104"/>
      <c r="AI12" s="102"/>
      <c r="AJ12" s="106"/>
      <c r="AK12" s="105"/>
      <c r="AL12" s="105"/>
      <c r="AM12" s="98"/>
      <c r="AN12" s="98"/>
      <c r="AO12" s="99"/>
      <c r="AP12" s="104"/>
      <c r="AQ12" s="102"/>
      <c r="AR12" s="207"/>
    </row>
    <row r="13" spans="1:44" ht="45" customHeight="1" x14ac:dyDescent="0.25">
      <c r="A13" s="147"/>
      <c r="B13" s="148"/>
      <c r="C13" s="149"/>
      <c r="D13" s="99"/>
      <c r="E13" s="99"/>
      <c r="F13" s="99"/>
      <c r="G13" s="43" t="s">
        <v>268</v>
      </c>
      <c r="H13" s="14">
        <v>43586</v>
      </c>
      <c r="I13" s="14">
        <v>43830</v>
      </c>
      <c r="J13" s="33" t="s">
        <v>23</v>
      </c>
      <c r="K13" s="153"/>
      <c r="L13" s="108"/>
      <c r="M13" s="105"/>
      <c r="N13" s="105"/>
      <c r="O13" s="98"/>
      <c r="P13" s="150"/>
      <c r="Q13" s="99"/>
      <c r="R13" s="104"/>
      <c r="S13" s="102"/>
      <c r="T13" s="106"/>
      <c r="U13" s="105"/>
      <c r="V13" s="105"/>
      <c r="W13" s="98"/>
      <c r="X13" s="98"/>
      <c r="Y13" s="99"/>
      <c r="Z13" s="104"/>
      <c r="AA13" s="102"/>
      <c r="AB13" s="106"/>
      <c r="AC13" s="105"/>
      <c r="AD13" s="105"/>
      <c r="AE13" s="98"/>
      <c r="AF13" s="98"/>
      <c r="AG13" s="99"/>
      <c r="AH13" s="104"/>
      <c r="AI13" s="102"/>
      <c r="AJ13" s="106"/>
      <c r="AK13" s="105"/>
      <c r="AL13" s="105"/>
      <c r="AM13" s="98"/>
      <c r="AN13" s="98"/>
      <c r="AO13" s="99"/>
      <c r="AP13" s="104"/>
      <c r="AQ13" s="102"/>
      <c r="AR13" s="207"/>
    </row>
    <row r="14" spans="1:44" ht="45" customHeight="1" x14ac:dyDescent="0.25">
      <c r="A14" s="147"/>
      <c r="B14" s="148"/>
      <c r="C14" s="149"/>
      <c r="D14" s="99"/>
      <c r="E14" s="99"/>
      <c r="F14" s="99"/>
      <c r="G14" s="43" t="s">
        <v>156</v>
      </c>
      <c r="H14" s="14">
        <v>43617</v>
      </c>
      <c r="I14" s="14">
        <v>43830</v>
      </c>
      <c r="J14" s="33" t="s">
        <v>23</v>
      </c>
      <c r="K14" s="153"/>
      <c r="L14" s="108"/>
      <c r="M14" s="105"/>
      <c r="N14" s="105"/>
      <c r="O14" s="98"/>
      <c r="P14" s="150"/>
      <c r="Q14" s="99"/>
      <c r="R14" s="104"/>
      <c r="S14" s="102"/>
      <c r="T14" s="106"/>
      <c r="U14" s="105"/>
      <c r="V14" s="105"/>
      <c r="W14" s="98"/>
      <c r="X14" s="98"/>
      <c r="Y14" s="99"/>
      <c r="Z14" s="104"/>
      <c r="AA14" s="102"/>
      <c r="AB14" s="106"/>
      <c r="AC14" s="105"/>
      <c r="AD14" s="105"/>
      <c r="AE14" s="98"/>
      <c r="AF14" s="98"/>
      <c r="AG14" s="99"/>
      <c r="AH14" s="104"/>
      <c r="AI14" s="102"/>
      <c r="AJ14" s="106"/>
      <c r="AK14" s="105"/>
      <c r="AL14" s="105"/>
      <c r="AM14" s="98"/>
      <c r="AN14" s="98"/>
      <c r="AO14" s="99"/>
      <c r="AP14" s="104"/>
      <c r="AQ14" s="102"/>
      <c r="AR14" s="208"/>
    </row>
    <row r="15" spans="1:44" ht="27.75" customHeight="1" x14ac:dyDescent="0.25">
      <c r="A15" s="147" t="s">
        <v>97</v>
      </c>
      <c r="B15" s="148" t="s">
        <v>24</v>
      </c>
      <c r="C15" s="149" t="s">
        <v>907</v>
      </c>
      <c r="D15" s="99" t="s">
        <v>997</v>
      </c>
      <c r="E15" s="99" t="s">
        <v>1026</v>
      </c>
      <c r="F15" s="99" t="s">
        <v>987</v>
      </c>
      <c r="G15" s="12" t="s">
        <v>157</v>
      </c>
      <c r="H15" s="14">
        <v>43466</v>
      </c>
      <c r="I15" s="14">
        <v>43830</v>
      </c>
      <c r="J15" s="33" t="s">
        <v>23</v>
      </c>
      <c r="K15" s="153" t="s">
        <v>308</v>
      </c>
      <c r="L15" s="108" t="s">
        <v>66</v>
      </c>
      <c r="M15" s="98" t="s">
        <v>459</v>
      </c>
      <c r="N15" s="98" t="s">
        <v>604</v>
      </c>
      <c r="O15" s="98">
        <f>IFERROR((8.03%/20%),"No aplica")</f>
        <v>0.40149999999999997</v>
      </c>
      <c r="P15" s="150">
        <f>IFERROR((8.03%/80%),"No aplica")</f>
        <v>0.10037499999999999</v>
      </c>
      <c r="Q15" s="99" t="s">
        <v>531</v>
      </c>
      <c r="R15" s="104" t="s">
        <v>537</v>
      </c>
      <c r="S15" s="104" t="s">
        <v>538</v>
      </c>
      <c r="T15" s="106" t="s">
        <v>66</v>
      </c>
      <c r="U15" s="98" t="s">
        <v>459</v>
      </c>
      <c r="V15" s="98" t="s">
        <v>734</v>
      </c>
      <c r="W15" s="116">
        <f>IFERROR((31%/20%),"No aplica")</f>
        <v>1.5499999999999998</v>
      </c>
      <c r="X15" s="116">
        <f>IFERROR(((8.03%+31%)/80%),"No aplica")</f>
        <v>0.48787499999999995</v>
      </c>
      <c r="Y15" s="99" t="s">
        <v>601</v>
      </c>
      <c r="Z15" s="104" t="s">
        <v>732</v>
      </c>
      <c r="AA15" s="104" t="s">
        <v>733</v>
      </c>
      <c r="AB15" s="106" t="s">
        <v>66</v>
      </c>
      <c r="AC15" s="98" t="s">
        <v>459</v>
      </c>
      <c r="AD15" s="98" t="s">
        <v>1144</v>
      </c>
      <c r="AE15" s="116">
        <f>IFERROR((34.6%/20%),"No aplica")</f>
        <v>1.73</v>
      </c>
      <c r="AF15" s="116">
        <f>IFERROR(((8.03%+31%+34.6%)/80%),"No aplica")</f>
        <v>0.92037499999999994</v>
      </c>
      <c r="AG15" s="99" t="s">
        <v>458</v>
      </c>
      <c r="AH15" s="104" t="s">
        <v>1074</v>
      </c>
      <c r="AI15" s="104" t="s">
        <v>1075</v>
      </c>
      <c r="AJ15" s="106" t="s">
        <v>66</v>
      </c>
      <c r="AK15" s="98" t="s">
        <v>459</v>
      </c>
      <c r="AL15" s="98" t="s">
        <v>1433</v>
      </c>
      <c r="AM15" s="116">
        <f>IFERROR((17.46%/20%),"No aplica")</f>
        <v>0.873</v>
      </c>
      <c r="AN15" s="116">
        <f>IFERROR(((8.03%+31%+34.6%+17.46%)/80%),"No aplica")</f>
        <v>1.1386249999999998</v>
      </c>
      <c r="AO15" s="99" t="s">
        <v>458</v>
      </c>
      <c r="AP15" s="104" t="s">
        <v>1482</v>
      </c>
      <c r="AQ15" s="104" t="s">
        <v>1293</v>
      </c>
      <c r="AR15" s="203" t="s">
        <v>1481</v>
      </c>
    </row>
    <row r="16" spans="1:44" ht="27.75" customHeight="1" x14ac:dyDescent="0.25">
      <c r="A16" s="147"/>
      <c r="B16" s="148"/>
      <c r="C16" s="149"/>
      <c r="D16" s="99"/>
      <c r="E16" s="99"/>
      <c r="F16" s="99"/>
      <c r="G16" s="12" t="s">
        <v>387</v>
      </c>
      <c r="H16" s="14">
        <v>43466</v>
      </c>
      <c r="I16" s="14">
        <v>43830</v>
      </c>
      <c r="J16" s="33" t="s">
        <v>23</v>
      </c>
      <c r="K16" s="153"/>
      <c r="L16" s="108"/>
      <c r="M16" s="105"/>
      <c r="N16" s="105"/>
      <c r="O16" s="98"/>
      <c r="P16" s="150"/>
      <c r="Q16" s="99"/>
      <c r="R16" s="104"/>
      <c r="S16" s="104"/>
      <c r="T16" s="106"/>
      <c r="U16" s="105"/>
      <c r="V16" s="105"/>
      <c r="W16" s="116"/>
      <c r="X16" s="116"/>
      <c r="Y16" s="99"/>
      <c r="Z16" s="104"/>
      <c r="AA16" s="104"/>
      <c r="AB16" s="106"/>
      <c r="AC16" s="105"/>
      <c r="AD16" s="105"/>
      <c r="AE16" s="116"/>
      <c r="AF16" s="116"/>
      <c r="AG16" s="99"/>
      <c r="AH16" s="104"/>
      <c r="AI16" s="104"/>
      <c r="AJ16" s="106"/>
      <c r="AK16" s="105"/>
      <c r="AL16" s="105"/>
      <c r="AM16" s="116"/>
      <c r="AN16" s="116"/>
      <c r="AO16" s="99"/>
      <c r="AP16" s="104"/>
      <c r="AQ16" s="104"/>
      <c r="AR16" s="204"/>
    </row>
    <row r="17" spans="1:44" ht="27.75" customHeight="1" x14ac:dyDescent="0.25">
      <c r="A17" s="147"/>
      <c r="B17" s="148"/>
      <c r="C17" s="149"/>
      <c r="D17" s="99"/>
      <c r="E17" s="99"/>
      <c r="F17" s="99"/>
      <c r="G17" s="12" t="s">
        <v>72</v>
      </c>
      <c r="H17" s="14">
        <v>43466</v>
      </c>
      <c r="I17" s="14">
        <v>43830</v>
      </c>
      <c r="J17" s="33" t="s">
        <v>23</v>
      </c>
      <c r="K17" s="153"/>
      <c r="L17" s="108"/>
      <c r="M17" s="105"/>
      <c r="N17" s="105"/>
      <c r="O17" s="98"/>
      <c r="P17" s="150"/>
      <c r="Q17" s="99"/>
      <c r="R17" s="104"/>
      <c r="S17" s="104"/>
      <c r="T17" s="106"/>
      <c r="U17" s="105"/>
      <c r="V17" s="105"/>
      <c r="W17" s="116"/>
      <c r="X17" s="116"/>
      <c r="Y17" s="99"/>
      <c r="Z17" s="104"/>
      <c r="AA17" s="104"/>
      <c r="AB17" s="106"/>
      <c r="AC17" s="105"/>
      <c r="AD17" s="105"/>
      <c r="AE17" s="116"/>
      <c r="AF17" s="116"/>
      <c r="AG17" s="99"/>
      <c r="AH17" s="104"/>
      <c r="AI17" s="104"/>
      <c r="AJ17" s="106"/>
      <c r="AK17" s="105"/>
      <c r="AL17" s="105"/>
      <c r="AM17" s="116"/>
      <c r="AN17" s="116"/>
      <c r="AO17" s="99"/>
      <c r="AP17" s="104"/>
      <c r="AQ17" s="104"/>
      <c r="AR17" s="204"/>
    </row>
    <row r="18" spans="1:44" ht="27.75" customHeight="1" x14ac:dyDescent="0.25">
      <c r="A18" s="147"/>
      <c r="B18" s="148"/>
      <c r="C18" s="149"/>
      <c r="D18" s="99"/>
      <c r="E18" s="99"/>
      <c r="F18" s="99"/>
      <c r="G18" s="12" t="s">
        <v>386</v>
      </c>
      <c r="H18" s="14">
        <v>43466</v>
      </c>
      <c r="I18" s="14">
        <v>43524</v>
      </c>
      <c r="J18" s="33" t="s">
        <v>23</v>
      </c>
      <c r="K18" s="153"/>
      <c r="L18" s="108"/>
      <c r="M18" s="105"/>
      <c r="N18" s="105"/>
      <c r="O18" s="98"/>
      <c r="P18" s="150"/>
      <c r="Q18" s="99"/>
      <c r="R18" s="104"/>
      <c r="S18" s="104"/>
      <c r="T18" s="106"/>
      <c r="U18" s="105"/>
      <c r="V18" s="105"/>
      <c r="W18" s="116"/>
      <c r="X18" s="116"/>
      <c r="Y18" s="99"/>
      <c r="Z18" s="104"/>
      <c r="AA18" s="104"/>
      <c r="AB18" s="106"/>
      <c r="AC18" s="105"/>
      <c r="AD18" s="105"/>
      <c r="AE18" s="116"/>
      <c r="AF18" s="116"/>
      <c r="AG18" s="99"/>
      <c r="AH18" s="104"/>
      <c r="AI18" s="104"/>
      <c r="AJ18" s="106"/>
      <c r="AK18" s="105"/>
      <c r="AL18" s="105"/>
      <c r="AM18" s="116"/>
      <c r="AN18" s="116"/>
      <c r="AO18" s="99"/>
      <c r="AP18" s="104"/>
      <c r="AQ18" s="104"/>
      <c r="AR18" s="204"/>
    </row>
    <row r="19" spans="1:44" ht="27.75" customHeight="1" x14ac:dyDescent="0.25">
      <c r="A19" s="147"/>
      <c r="B19" s="148"/>
      <c r="C19" s="149"/>
      <c r="D19" s="99"/>
      <c r="E19" s="99"/>
      <c r="F19" s="99"/>
      <c r="G19" s="44" t="s">
        <v>73</v>
      </c>
      <c r="H19" s="14">
        <v>43466</v>
      </c>
      <c r="I19" s="14">
        <v>43830</v>
      </c>
      <c r="J19" s="33" t="s">
        <v>23</v>
      </c>
      <c r="K19" s="153"/>
      <c r="L19" s="108"/>
      <c r="M19" s="105"/>
      <c r="N19" s="105"/>
      <c r="O19" s="98"/>
      <c r="P19" s="150"/>
      <c r="Q19" s="99"/>
      <c r="R19" s="104"/>
      <c r="S19" s="104"/>
      <c r="T19" s="106"/>
      <c r="U19" s="105"/>
      <c r="V19" s="105"/>
      <c r="W19" s="116"/>
      <c r="X19" s="116"/>
      <c r="Y19" s="99"/>
      <c r="Z19" s="104"/>
      <c r="AA19" s="104"/>
      <c r="AB19" s="106"/>
      <c r="AC19" s="105"/>
      <c r="AD19" s="105"/>
      <c r="AE19" s="116"/>
      <c r="AF19" s="116"/>
      <c r="AG19" s="99"/>
      <c r="AH19" s="104"/>
      <c r="AI19" s="104"/>
      <c r="AJ19" s="106"/>
      <c r="AK19" s="105"/>
      <c r="AL19" s="105"/>
      <c r="AM19" s="116"/>
      <c r="AN19" s="116"/>
      <c r="AO19" s="99"/>
      <c r="AP19" s="104"/>
      <c r="AQ19" s="104"/>
      <c r="AR19" s="205"/>
    </row>
    <row r="20" spans="1:44" ht="15.75" customHeight="1" x14ac:dyDescent="0.25">
      <c r="A20" s="92" t="s">
        <v>380</v>
      </c>
      <c r="B20" s="22" t="s">
        <v>380</v>
      </c>
      <c r="C20" s="47"/>
      <c r="D20" s="7" t="s">
        <v>380</v>
      </c>
      <c r="E20" s="7" t="s">
        <v>380</v>
      </c>
      <c r="F20" s="7" t="s">
        <v>380</v>
      </c>
      <c r="G20" s="45" t="s">
        <v>380</v>
      </c>
      <c r="H20" s="7" t="s">
        <v>380</v>
      </c>
      <c r="I20" s="7" t="s">
        <v>380</v>
      </c>
      <c r="J20" s="34"/>
      <c r="K20" s="29" t="s">
        <v>380</v>
      </c>
      <c r="L20" s="29" t="s">
        <v>380</v>
      </c>
      <c r="M20" s="7" t="s">
        <v>380</v>
      </c>
      <c r="N20" s="7" t="s">
        <v>380</v>
      </c>
      <c r="O20" s="7" t="s">
        <v>380</v>
      </c>
      <c r="P20" s="7" t="s">
        <v>380</v>
      </c>
      <c r="Q20" s="7" t="s">
        <v>380</v>
      </c>
      <c r="R20" s="7" t="s">
        <v>380</v>
      </c>
      <c r="S20" s="7" t="s">
        <v>380</v>
      </c>
      <c r="T20" s="22" t="s">
        <v>380</v>
      </c>
      <c r="U20" s="7" t="s">
        <v>380</v>
      </c>
      <c r="V20" s="7" t="s">
        <v>380</v>
      </c>
      <c r="W20" s="7" t="s">
        <v>380</v>
      </c>
      <c r="X20" s="7" t="s">
        <v>380</v>
      </c>
      <c r="Y20" s="22" t="s">
        <v>380</v>
      </c>
      <c r="Z20" s="81" t="s">
        <v>380</v>
      </c>
      <c r="AA20" s="81" t="s">
        <v>380</v>
      </c>
      <c r="AB20" s="22" t="s">
        <v>380</v>
      </c>
      <c r="AC20" s="7" t="s">
        <v>380</v>
      </c>
      <c r="AD20" s="7" t="s">
        <v>380</v>
      </c>
      <c r="AE20" s="7" t="s">
        <v>380</v>
      </c>
      <c r="AF20" s="71" t="s">
        <v>380</v>
      </c>
      <c r="AG20" s="7" t="s">
        <v>380</v>
      </c>
      <c r="AH20" s="81" t="s">
        <v>380</v>
      </c>
      <c r="AI20" s="81" t="s">
        <v>380</v>
      </c>
      <c r="AJ20" s="22" t="s">
        <v>380</v>
      </c>
      <c r="AK20" s="7" t="s">
        <v>380</v>
      </c>
      <c r="AL20" s="7" t="s">
        <v>380</v>
      </c>
      <c r="AM20" s="7" t="s">
        <v>380</v>
      </c>
      <c r="AN20" s="7" t="s">
        <v>380</v>
      </c>
      <c r="AO20" s="7" t="s">
        <v>380</v>
      </c>
      <c r="AP20" s="81" t="s">
        <v>380</v>
      </c>
      <c r="AQ20" s="81" t="s">
        <v>380</v>
      </c>
      <c r="AR20" s="82" t="s">
        <v>380</v>
      </c>
    </row>
    <row r="21" spans="1:44" ht="75.75" customHeight="1" x14ac:dyDescent="0.25">
      <c r="A21" s="156" t="s">
        <v>98</v>
      </c>
      <c r="B21" s="148" t="s">
        <v>14</v>
      </c>
      <c r="C21" s="149" t="s">
        <v>908</v>
      </c>
      <c r="D21" s="99" t="s">
        <v>998</v>
      </c>
      <c r="E21" s="99">
        <v>0</v>
      </c>
      <c r="F21" s="105" t="s">
        <v>231</v>
      </c>
      <c r="G21" s="43" t="s">
        <v>81</v>
      </c>
      <c r="H21" s="14">
        <v>43497</v>
      </c>
      <c r="I21" s="14">
        <v>43496</v>
      </c>
      <c r="J21" s="33" t="s">
        <v>15</v>
      </c>
      <c r="K21" s="153" t="s">
        <v>310</v>
      </c>
      <c r="L21" s="108" t="s">
        <v>779</v>
      </c>
      <c r="M21" s="105" t="s">
        <v>480</v>
      </c>
      <c r="N21" s="105" t="s">
        <v>480</v>
      </c>
      <c r="O21" s="98">
        <f>IFERROR((14%/14%),"No aplica")</f>
        <v>1</v>
      </c>
      <c r="P21" s="150">
        <f>IFERROR((14%/100%),"No aplica")</f>
        <v>0.14000000000000001</v>
      </c>
      <c r="Q21" s="99" t="s">
        <v>458</v>
      </c>
      <c r="R21" s="104" t="s">
        <v>881</v>
      </c>
      <c r="S21" s="104" t="s">
        <v>556</v>
      </c>
      <c r="T21" s="106" t="s">
        <v>779</v>
      </c>
      <c r="U21" s="105" t="s">
        <v>660</v>
      </c>
      <c r="V21" s="137" t="s">
        <v>660</v>
      </c>
      <c r="W21" s="98">
        <f>IFERROR((14%/14%),"No aplica")</f>
        <v>1</v>
      </c>
      <c r="X21" s="98">
        <f>IFERROR((14%+7%/100%),"No aplica")</f>
        <v>0.21000000000000002</v>
      </c>
      <c r="Y21" s="99" t="s">
        <v>458</v>
      </c>
      <c r="Z21" s="146" t="s">
        <v>811</v>
      </c>
      <c r="AA21" s="104" t="s">
        <v>812</v>
      </c>
      <c r="AB21" s="106" t="s">
        <v>779</v>
      </c>
      <c r="AC21" s="105" t="s">
        <v>1199</v>
      </c>
      <c r="AD21" s="137" t="s">
        <v>1199</v>
      </c>
      <c r="AE21" s="98">
        <f>IFERROR((24%/24%),"No aplica")</f>
        <v>1</v>
      </c>
      <c r="AF21" s="129">
        <f>IFERROR(((14%+7%+24%)/100%),"No aplica")</f>
        <v>0.45</v>
      </c>
      <c r="AG21" s="99" t="s">
        <v>458</v>
      </c>
      <c r="AH21" s="146" t="s">
        <v>1200</v>
      </c>
      <c r="AI21" s="104" t="s">
        <v>1201</v>
      </c>
      <c r="AJ21" s="106" t="s">
        <v>779</v>
      </c>
      <c r="AK21" s="105" t="s">
        <v>1295</v>
      </c>
      <c r="AL21" s="105" t="s">
        <v>1295</v>
      </c>
      <c r="AM21" s="98">
        <f>IFERROR((55%/55%),"No aplica")</f>
        <v>1</v>
      </c>
      <c r="AN21" s="98">
        <f>IFERROR(((14%+7%+24%+55%)/100%),"No aplica")</f>
        <v>1</v>
      </c>
      <c r="AO21" s="99" t="s">
        <v>458</v>
      </c>
      <c r="AP21" s="146" t="s">
        <v>1483</v>
      </c>
      <c r="AQ21" s="104" t="s">
        <v>1294</v>
      </c>
      <c r="AR21" s="203" t="s">
        <v>1435</v>
      </c>
    </row>
    <row r="22" spans="1:44" ht="75.75" customHeight="1" x14ac:dyDescent="0.25">
      <c r="A22" s="156"/>
      <c r="B22" s="148"/>
      <c r="C22" s="149"/>
      <c r="D22" s="99"/>
      <c r="E22" s="99"/>
      <c r="F22" s="105"/>
      <c r="G22" s="44" t="s">
        <v>232</v>
      </c>
      <c r="H22" s="14">
        <v>43497</v>
      </c>
      <c r="I22" s="14">
        <v>43496</v>
      </c>
      <c r="J22" s="33" t="s">
        <v>15</v>
      </c>
      <c r="K22" s="153"/>
      <c r="L22" s="108"/>
      <c r="M22" s="105"/>
      <c r="N22" s="105"/>
      <c r="O22" s="98"/>
      <c r="P22" s="150"/>
      <c r="Q22" s="99"/>
      <c r="R22" s="104"/>
      <c r="S22" s="104"/>
      <c r="T22" s="106"/>
      <c r="U22" s="105"/>
      <c r="V22" s="138"/>
      <c r="W22" s="98"/>
      <c r="X22" s="98"/>
      <c r="Y22" s="99"/>
      <c r="Z22" s="146"/>
      <c r="AA22" s="104"/>
      <c r="AB22" s="106"/>
      <c r="AC22" s="105"/>
      <c r="AD22" s="138"/>
      <c r="AE22" s="98"/>
      <c r="AF22" s="130"/>
      <c r="AG22" s="99"/>
      <c r="AH22" s="146"/>
      <c r="AI22" s="104"/>
      <c r="AJ22" s="106"/>
      <c r="AK22" s="105"/>
      <c r="AL22" s="105"/>
      <c r="AM22" s="98"/>
      <c r="AN22" s="98"/>
      <c r="AO22" s="99"/>
      <c r="AP22" s="146"/>
      <c r="AQ22" s="104"/>
      <c r="AR22" s="204"/>
    </row>
    <row r="23" spans="1:44" ht="75.75" customHeight="1" x14ac:dyDescent="0.25">
      <c r="A23" s="156"/>
      <c r="B23" s="148"/>
      <c r="C23" s="149"/>
      <c r="D23" s="99"/>
      <c r="E23" s="99"/>
      <c r="F23" s="105"/>
      <c r="G23" s="12" t="s">
        <v>55</v>
      </c>
      <c r="H23" s="14">
        <v>43481</v>
      </c>
      <c r="I23" s="14">
        <v>43677</v>
      </c>
      <c r="J23" s="33" t="s">
        <v>15</v>
      </c>
      <c r="K23" s="153"/>
      <c r="L23" s="108"/>
      <c r="M23" s="105"/>
      <c r="N23" s="105"/>
      <c r="O23" s="98"/>
      <c r="P23" s="150"/>
      <c r="Q23" s="99"/>
      <c r="R23" s="104"/>
      <c r="S23" s="104"/>
      <c r="T23" s="106"/>
      <c r="U23" s="105"/>
      <c r="V23" s="138"/>
      <c r="W23" s="98"/>
      <c r="X23" s="98"/>
      <c r="Y23" s="99"/>
      <c r="Z23" s="146"/>
      <c r="AA23" s="104"/>
      <c r="AB23" s="106"/>
      <c r="AC23" s="105"/>
      <c r="AD23" s="138"/>
      <c r="AE23" s="98"/>
      <c r="AF23" s="130"/>
      <c r="AG23" s="99"/>
      <c r="AH23" s="146"/>
      <c r="AI23" s="104"/>
      <c r="AJ23" s="106"/>
      <c r="AK23" s="105"/>
      <c r="AL23" s="105"/>
      <c r="AM23" s="98"/>
      <c r="AN23" s="98"/>
      <c r="AO23" s="99"/>
      <c r="AP23" s="146"/>
      <c r="AQ23" s="104"/>
      <c r="AR23" s="204"/>
    </row>
    <row r="24" spans="1:44" ht="75.75" customHeight="1" x14ac:dyDescent="0.25">
      <c r="A24" s="156"/>
      <c r="B24" s="148"/>
      <c r="C24" s="149"/>
      <c r="D24" s="99"/>
      <c r="E24" s="99"/>
      <c r="F24" s="99" t="s">
        <v>233</v>
      </c>
      <c r="G24" s="12" t="s">
        <v>234</v>
      </c>
      <c r="H24" s="14">
        <v>43497</v>
      </c>
      <c r="I24" s="15">
        <v>43555</v>
      </c>
      <c r="J24" s="33" t="s">
        <v>15</v>
      </c>
      <c r="K24" s="153"/>
      <c r="L24" s="108"/>
      <c r="M24" s="105"/>
      <c r="N24" s="105"/>
      <c r="O24" s="98"/>
      <c r="P24" s="150"/>
      <c r="Q24" s="99"/>
      <c r="R24" s="104"/>
      <c r="S24" s="104"/>
      <c r="T24" s="106"/>
      <c r="U24" s="105"/>
      <c r="V24" s="138"/>
      <c r="W24" s="98"/>
      <c r="X24" s="98"/>
      <c r="Y24" s="99"/>
      <c r="Z24" s="146"/>
      <c r="AA24" s="104"/>
      <c r="AB24" s="106"/>
      <c r="AC24" s="105"/>
      <c r="AD24" s="138"/>
      <c r="AE24" s="98"/>
      <c r="AF24" s="130"/>
      <c r="AG24" s="99"/>
      <c r="AH24" s="146"/>
      <c r="AI24" s="104"/>
      <c r="AJ24" s="106"/>
      <c r="AK24" s="105"/>
      <c r="AL24" s="105"/>
      <c r="AM24" s="98"/>
      <c r="AN24" s="98"/>
      <c r="AO24" s="99"/>
      <c r="AP24" s="146"/>
      <c r="AQ24" s="104"/>
      <c r="AR24" s="204"/>
    </row>
    <row r="25" spans="1:44" ht="75.75" customHeight="1" x14ac:dyDescent="0.25">
      <c r="A25" s="156"/>
      <c r="B25" s="148"/>
      <c r="C25" s="149"/>
      <c r="D25" s="99"/>
      <c r="E25" s="99"/>
      <c r="F25" s="99"/>
      <c r="G25" s="12" t="s">
        <v>813</v>
      </c>
      <c r="H25" s="15">
        <v>43497</v>
      </c>
      <c r="I25" s="15">
        <v>43830</v>
      </c>
      <c r="J25" s="33" t="s">
        <v>15</v>
      </c>
      <c r="K25" s="153"/>
      <c r="L25" s="108"/>
      <c r="M25" s="105"/>
      <c r="N25" s="105"/>
      <c r="O25" s="98"/>
      <c r="P25" s="150"/>
      <c r="Q25" s="99"/>
      <c r="R25" s="104"/>
      <c r="S25" s="104"/>
      <c r="T25" s="106"/>
      <c r="U25" s="105"/>
      <c r="V25" s="138"/>
      <c r="W25" s="98"/>
      <c r="X25" s="98"/>
      <c r="Y25" s="99"/>
      <c r="Z25" s="146"/>
      <c r="AA25" s="104"/>
      <c r="AB25" s="106"/>
      <c r="AC25" s="105"/>
      <c r="AD25" s="138"/>
      <c r="AE25" s="98"/>
      <c r="AF25" s="130"/>
      <c r="AG25" s="99"/>
      <c r="AH25" s="146"/>
      <c r="AI25" s="104"/>
      <c r="AJ25" s="106"/>
      <c r="AK25" s="105"/>
      <c r="AL25" s="105"/>
      <c r="AM25" s="98"/>
      <c r="AN25" s="98"/>
      <c r="AO25" s="99"/>
      <c r="AP25" s="146"/>
      <c r="AQ25" s="104"/>
      <c r="AR25" s="204"/>
    </row>
    <row r="26" spans="1:44" ht="75.75" customHeight="1" x14ac:dyDescent="0.25">
      <c r="A26" s="156"/>
      <c r="B26" s="148"/>
      <c r="C26" s="149"/>
      <c r="D26" s="99"/>
      <c r="E26" s="99"/>
      <c r="F26" s="99"/>
      <c r="G26" s="12" t="s">
        <v>814</v>
      </c>
      <c r="H26" s="14">
        <v>43556</v>
      </c>
      <c r="I26" s="14">
        <v>43830</v>
      </c>
      <c r="J26" s="33" t="s">
        <v>15</v>
      </c>
      <c r="K26" s="153"/>
      <c r="L26" s="108"/>
      <c r="M26" s="105"/>
      <c r="N26" s="105"/>
      <c r="O26" s="98"/>
      <c r="P26" s="150"/>
      <c r="Q26" s="99"/>
      <c r="R26" s="104"/>
      <c r="S26" s="104"/>
      <c r="T26" s="106"/>
      <c r="U26" s="105"/>
      <c r="V26" s="138"/>
      <c r="W26" s="98"/>
      <c r="X26" s="98"/>
      <c r="Y26" s="99"/>
      <c r="Z26" s="146"/>
      <c r="AA26" s="104"/>
      <c r="AB26" s="106"/>
      <c r="AC26" s="105"/>
      <c r="AD26" s="138"/>
      <c r="AE26" s="98"/>
      <c r="AF26" s="130"/>
      <c r="AG26" s="99"/>
      <c r="AH26" s="146"/>
      <c r="AI26" s="104"/>
      <c r="AJ26" s="106"/>
      <c r="AK26" s="105"/>
      <c r="AL26" s="105"/>
      <c r="AM26" s="98"/>
      <c r="AN26" s="98"/>
      <c r="AO26" s="99"/>
      <c r="AP26" s="146"/>
      <c r="AQ26" s="104"/>
      <c r="AR26" s="204"/>
    </row>
    <row r="27" spans="1:44" ht="75.75" customHeight="1" x14ac:dyDescent="0.25">
      <c r="A27" s="156"/>
      <c r="B27" s="148"/>
      <c r="C27" s="149"/>
      <c r="D27" s="99"/>
      <c r="E27" s="99"/>
      <c r="F27" s="99"/>
      <c r="G27" s="12" t="s">
        <v>235</v>
      </c>
      <c r="H27" s="15">
        <v>43555</v>
      </c>
      <c r="I27" s="15">
        <v>43830</v>
      </c>
      <c r="J27" s="33" t="s">
        <v>15</v>
      </c>
      <c r="K27" s="153"/>
      <c r="L27" s="108"/>
      <c r="M27" s="105"/>
      <c r="N27" s="105"/>
      <c r="O27" s="98"/>
      <c r="P27" s="150"/>
      <c r="Q27" s="99"/>
      <c r="R27" s="104"/>
      <c r="S27" s="104"/>
      <c r="T27" s="106"/>
      <c r="U27" s="105"/>
      <c r="V27" s="139"/>
      <c r="W27" s="98"/>
      <c r="X27" s="98"/>
      <c r="Y27" s="99"/>
      <c r="Z27" s="146"/>
      <c r="AA27" s="104"/>
      <c r="AB27" s="106"/>
      <c r="AC27" s="105"/>
      <c r="AD27" s="139"/>
      <c r="AE27" s="98"/>
      <c r="AF27" s="131"/>
      <c r="AG27" s="99"/>
      <c r="AH27" s="146"/>
      <c r="AI27" s="104"/>
      <c r="AJ27" s="106"/>
      <c r="AK27" s="105"/>
      <c r="AL27" s="105"/>
      <c r="AM27" s="98"/>
      <c r="AN27" s="98"/>
      <c r="AO27" s="99"/>
      <c r="AP27" s="146"/>
      <c r="AQ27" s="104"/>
      <c r="AR27" s="205"/>
    </row>
    <row r="28" spans="1:44" ht="30" customHeight="1" x14ac:dyDescent="0.25">
      <c r="A28" s="156" t="s">
        <v>97</v>
      </c>
      <c r="B28" s="148" t="s">
        <v>339</v>
      </c>
      <c r="C28" s="157" t="s">
        <v>909</v>
      </c>
      <c r="D28" s="105" t="s">
        <v>999</v>
      </c>
      <c r="E28" s="99">
        <v>0</v>
      </c>
      <c r="F28" s="105" t="s">
        <v>815</v>
      </c>
      <c r="G28" s="44" t="s">
        <v>389</v>
      </c>
      <c r="H28" s="15">
        <v>43497</v>
      </c>
      <c r="I28" s="15">
        <v>43585</v>
      </c>
      <c r="J28" s="33" t="s">
        <v>15</v>
      </c>
      <c r="K28" s="108" t="s">
        <v>310</v>
      </c>
      <c r="L28" s="108" t="s">
        <v>483</v>
      </c>
      <c r="M28" s="105" t="s">
        <v>484</v>
      </c>
      <c r="N28" s="105" t="s">
        <v>484</v>
      </c>
      <c r="O28" s="98" t="str">
        <f>IFERROR((0/0),"No aplica")</f>
        <v>No aplica</v>
      </c>
      <c r="P28" s="150">
        <f>IFERROR((0/2),"No aplica")</f>
        <v>0</v>
      </c>
      <c r="Q28" s="99" t="s">
        <v>457</v>
      </c>
      <c r="R28" s="104" t="s">
        <v>485</v>
      </c>
      <c r="S28" s="104" t="s">
        <v>309</v>
      </c>
      <c r="T28" s="106" t="s">
        <v>483</v>
      </c>
      <c r="U28" s="105" t="s">
        <v>484</v>
      </c>
      <c r="V28" s="105" t="s">
        <v>484</v>
      </c>
      <c r="W28" s="98" t="str">
        <f>IFERROR((0/0),"No aplica")</f>
        <v>No aplica</v>
      </c>
      <c r="X28" s="98">
        <f>IFERROR((0/2),"No aplica")</f>
        <v>0</v>
      </c>
      <c r="Y28" s="99" t="s">
        <v>457</v>
      </c>
      <c r="Z28" s="104" t="s">
        <v>725</v>
      </c>
      <c r="AA28" s="104" t="s">
        <v>726</v>
      </c>
      <c r="AB28" s="106" t="s">
        <v>483</v>
      </c>
      <c r="AC28" s="105" t="s">
        <v>1202</v>
      </c>
      <c r="AD28" s="105" t="s">
        <v>1202</v>
      </c>
      <c r="AE28" s="98">
        <f>IFERROR((1/1),"No aplica")</f>
        <v>1</v>
      </c>
      <c r="AF28" s="98">
        <f>IFERROR((1/2),"No aplica")</f>
        <v>0.5</v>
      </c>
      <c r="AG28" s="99" t="s">
        <v>458</v>
      </c>
      <c r="AH28" s="104" t="s">
        <v>1203</v>
      </c>
      <c r="AI28" s="104" t="s">
        <v>1204</v>
      </c>
      <c r="AJ28" s="106" t="s">
        <v>483</v>
      </c>
      <c r="AK28" s="105" t="s">
        <v>1202</v>
      </c>
      <c r="AL28" s="105" t="s">
        <v>1202</v>
      </c>
      <c r="AM28" s="98">
        <f>IFERROR((1/1),"No aplica")</f>
        <v>1</v>
      </c>
      <c r="AN28" s="98">
        <f>IFERROR((2/2),"No aplica")</f>
        <v>1</v>
      </c>
      <c r="AO28" s="99" t="s">
        <v>458</v>
      </c>
      <c r="AP28" s="104" t="s">
        <v>1296</v>
      </c>
      <c r="AQ28" s="104" t="s">
        <v>1297</v>
      </c>
      <c r="AR28" s="203" t="s">
        <v>1484</v>
      </c>
    </row>
    <row r="29" spans="1:44" ht="30" customHeight="1" x14ac:dyDescent="0.25">
      <c r="A29" s="156"/>
      <c r="B29" s="148"/>
      <c r="C29" s="157"/>
      <c r="D29" s="105"/>
      <c r="E29" s="99"/>
      <c r="F29" s="105"/>
      <c r="G29" s="12" t="s">
        <v>816</v>
      </c>
      <c r="H29" s="15">
        <v>43497</v>
      </c>
      <c r="I29" s="15">
        <v>43677</v>
      </c>
      <c r="J29" s="96" t="s">
        <v>15</v>
      </c>
      <c r="K29" s="108"/>
      <c r="L29" s="108"/>
      <c r="M29" s="105"/>
      <c r="N29" s="105"/>
      <c r="O29" s="98"/>
      <c r="P29" s="150"/>
      <c r="Q29" s="99"/>
      <c r="R29" s="104"/>
      <c r="S29" s="104"/>
      <c r="T29" s="106"/>
      <c r="U29" s="105"/>
      <c r="V29" s="105"/>
      <c r="W29" s="98"/>
      <c r="X29" s="98"/>
      <c r="Y29" s="99"/>
      <c r="Z29" s="104"/>
      <c r="AA29" s="104"/>
      <c r="AB29" s="106"/>
      <c r="AC29" s="105"/>
      <c r="AD29" s="105"/>
      <c r="AE29" s="98"/>
      <c r="AF29" s="98"/>
      <c r="AG29" s="99"/>
      <c r="AH29" s="104"/>
      <c r="AI29" s="104"/>
      <c r="AJ29" s="106"/>
      <c r="AK29" s="105"/>
      <c r="AL29" s="105"/>
      <c r="AM29" s="98"/>
      <c r="AN29" s="98"/>
      <c r="AO29" s="99"/>
      <c r="AP29" s="104"/>
      <c r="AQ29" s="104"/>
      <c r="AR29" s="204"/>
    </row>
    <row r="30" spans="1:44" ht="30" customHeight="1" x14ac:dyDescent="0.25">
      <c r="A30" s="156"/>
      <c r="B30" s="148"/>
      <c r="C30" s="157"/>
      <c r="D30" s="105"/>
      <c r="E30" s="99"/>
      <c r="F30" s="105"/>
      <c r="G30" s="12" t="s">
        <v>388</v>
      </c>
      <c r="H30" s="15">
        <v>43678</v>
      </c>
      <c r="I30" s="15">
        <v>43830</v>
      </c>
      <c r="J30" s="33" t="s">
        <v>15</v>
      </c>
      <c r="K30" s="108"/>
      <c r="L30" s="108"/>
      <c r="M30" s="105"/>
      <c r="N30" s="105"/>
      <c r="O30" s="98"/>
      <c r="P30" s="150"/>
      <c r="Q30" s="99"/>
      <c r="R30" s="104"/>
      <c r="S30" s="104"/>
      <c r="T30" s="106"/>
      <c r="U30" s="105"/>
      <c r="V30" s="105"/>
      <c r="W30" s="98"/>
      <c r="X30" s="98"/>
      <c r="Y30" s="99"/>
      <c r="Z30" s="104"/>
      <c r="AA30" s="104"/>
      <c r="AB30" s="106"/>
      <c r="AC30" s="105"/>
      <c r="AD30" s="105"/>
      <c r="AE30" s="98"/>
      <c r="AF30" s="98"/>
      <c r="AG30" s="99"/>
      <c r="AH30" s="104"/>
      <c r="AI30" s="104"/>
      <c r="AJ30" s="106"/>
      <c r="AK30" s="105"/>
      <c r="AL30" s="105"/>
      <c r="AM30" s="98"/>
      <c r="AN30" s="98"/>
      <c r="AO30" s="99"/>
      <c r="AP30" s="104"/>
      <c r="AQ30" s="104"/>
      <c r="AR30" s="204"/>
    </row>
    <row r="31" spans="1:44" ht="30" customHeight="1" x14ac:dyDescent="0.25">
      <c r="A31" s="156"/>
      <c r="B31" s="148"/>
      <c r="C31" s="157"/>
      <c r="D31" s="105"/>
      <c r="E31" s="99"/>
      <c r="F31" s="105"/>
      <c r="G31" s="12" t="s">
        <v>340</v>
      </c>
      <c r="H31" s="15">
        <v>43678</v>
      </c>
      <c r="I31" s="15">
        <v>43830</v>
      </c>
      <c r="J31" s="33" t="s">
        <v>15</v>
      </c>
      <c r="K31" s="108"/>
      <c r="L31" s="108"/>
      <c r="M31" s="105"/>
      <c r="N31" s="105"/>
      <c r="O31" s="98"/>
      <c r="P31" s="150"/>
      <c r="Q31" s="99"/>
      <c r="R31" s="104"/>
      <c r="S31" s="104"/>
      <c r="T31" s="106"/>
      <c r="U31" s="105"/>
      <c r="V31" s="105"/>
      <c r="W31" s="98"/>
      <c r="X31" s="98"/>
      <c r="Y31" s="99"/>
      <c r="Z31" s="104"/>
      <c r="AA31" s="104"/>
      <c r="AB31" s="106"/>
      <c r="AC31" s="105"/>
      <c r="AD31" s="105"/>
      <c r="AE31" s="98"/>
      <c r="AF31" s="98"/>
      <c r="AG31" s="99"/>
      <c r="AH31" s="104"/>
      <c r="AI31" s="104"/>
      <c r="AJ31" s="106"/>
      <c r="AK31" s="105"/>
      <c r="AL31" s="105"/>
      <c r="AM31" s="98"/>
      <c r="AN31" s="98"/>
      <c r="AO31" s="99"/>
      <c r="AP31" s="104"/>
      <c r="AQ31" s="104"/>
      <c r="AR31" s="204"/>
    </row>
    <row r="32" spans="1:44" ht="30" customHeight="1" x14ac:dyDescent="0.25">
      <c r="A32" s="156"/>
      <c r="B32" s="148"/>
      <c r="C32" s="157"/>
      <c r="D32" s="105"/>
      <c r="E32" s="99"/>
      <c r="F32" s="105"/>
      <c r="G32" s="12" t="s">
        <v>341</v>
      </c>
      <c r="H32" s="15">
        <v>43678</v>
      </c>
      <c r="I32" s="15">
        <v>43830</v>
      </c>
      <c r="J32" s="33" t="s">
        <v>15</v>
      </c>
      <c r="K32" s="108"/>
      <c r="L32" s="108"/>
      <c r="M32" s="105"/>
      <c r="N32" s="105"/>
      <c r="O32" s="98"/>
      <c r="P32" s="150"/>
      <c r="Q32" s="99"/>
      <c r="R32" s="104"/>
      <c r="S32" s="104"/>
      <c r="T32" s="106"/>
      <c r="U32" s="105"/>
      <c r="V32" s="105"/>
      <c r="W32" s="98"/>
      <c r="X32" s="98"/>
      <c r="Y32" s="99"/>
      <c r="Z32" s="104"/>
      <c r="AA32" s="104"/>
      <c r="AB32" s="106"/>
      <c r="AC32" s="105"/>
      <c r="AD32" s="105"/>
      <c r="AE32" s="98"/>
      <c r="AF32" s="98"/>
      <c r="AG32" s="99"/>
      <c r="AH32" s="104"/>
      <c r="AI32" s="104"/>
      <c r="AJ32" s="106"/>
      <c r="AK32" s="105"/>
      <c r="AL32" s="105"/>
      <c r="AM32" s="98"/>
      <c r="AN32" s="98"/>
      <c r="AO32" s="99"/>
      <c r="AP32" s="104"/>
      <c r="AQ32" s="104"/>
      <c r="AR32" s="205"/>
    </row>
    <row r="33" spans="1:44" ht="210" customHeight="1" x14ac:dyDescent="0.25">
      <c r="A33" s="156" t="s">
        <v>97</v>
      </c>
      <c r="B33" s="148" t="s">
        <v>339</v>
      </c>
      <c r="C33" s="149" t="s">
        <v>910</v>
      </c>
      <c r="D33" s="99" t="s">
        <v>1000</v>
      </c>
      <c r="E33" s="105">
        <v>0</v>
      </c>
      <c r="F33" s="99" t="s">
        <v>390</v>
      </c>
      <c r="G33" s="44" t="s">
        <v>729</v>
      </c>
      <c r="H33" s="14">
        <v>43480</v>
      </c>
      <c r="I33" s="14">
        <v>43708</v>
      </c>
      <c r="J33" s="33" t="s">
        <v>15</v>
      </c>
      <c r="K33" s="153" t="s">
        <v>310</v>
      </c>
      <c r="L33" s="108" t="s">
        <v>817</v>
      </c>
      <c r="M33" s="105" t="s">
        <v>818</v>
      </c>
      <c r="N33" s="105" t="s">
        <v>818</v>
      </c>
      <c r="O33" s="116">
        <f>IFERROR((12.5%/12.5%),"No aplica")</f>
        <v>1</v>
      </c>
      <c r="P33" s="158">
        <f>IFERROR((12.5%/100%),"No aplica")</f>
        <v>0.125</v>
      </c>
      <c r="Q33" s="99" t="s">
        <v>458</v>
      </c>
      <c r="R33" s="104" t="s">
        <v>819</v>
      </c>
      <c r="S33" s="104" t="s">
        <v>557</v>
      </c>
      <c r="T33" s="141" t="s">
        <v>817</v>
      </c>
      <c r="U33" s="137" t="s">
        <v>820</v>
      </c>
      <c r="V33" s="105" t="s">
        <v>820</v>
      </c>
      <c r="W33" s="98">
        <f>IFERROR((27.5%/27.5%),"No aplica")</f>
        <v>1</v>
      </c>
      <c r="X33" s="98">
        <f>IFERROR((12%+27.5%/100%),"No aplica")</f>
        <v>0.39500000000000002</v>
      </c>
      <c r="Y33" s="99" t="s">
        <v>458</v>
      </c>
      <c r="Z33" s="104" t="s">
        <v>736</v>
      </c>
      <c r="AA33" s="104" t="s">
        <v>874</v>
      </c>
      <c r="AB33" s="141" t="s">
        <v>817</v>
      </c>
      <c r="AC33" s="137" t="s">
        <v>1205</v>
      </c>
      <c r="AD33" s="137" t="s">
        <v>1205</v>
      </c>
      <c r="AE33" s="98">
        <f>IFERROR((23.5%/23.5%),"No aplica")</f>
        <v>1</v>
      </c>
      <c r="AF33" s="98">
        <f>IFERROR(((12.5%+27.5%+23.5%)/100%),"No aplica")</f>
        <v>0.63500000000000001</v>
      </c>
      <c r="AG33" s="99" t="s">
        <v>458</v>
      </c>
      <c r="AH33" s="104" t="s">
        <v>1275</v>
      </c>
      <c r="AI33" s="104" t="s">
        <v>1274</v>
      </c>
      <c r="AJ33" s="106" t="s">
        <v>817</v>
      </c>
      <c r="AK33" s="105" t="s">
        <v>1298</v>
      </c>
      <c r="AL33" s="105" t="s">
        <v>1298</v>
      </c>
      <c r="AM33" s="98">
        <f>IFERROR((36.5%/36.5%),"No aplica")</f>
        <v>1</v>
      </c>
      <c r="AN33" s="98">
        <f>IFERROR(((12.5%+27.5%+23.5%+36.5%)/100%),"No aplica")</f>
        <v>1</v>
      </c>
      <c r="AO33" s="99" t="s">
        <v>458</v>
      </c>
      <c r="AP33" s="104" t="s">
        <v>1486</v>
      </c>
      <c r="AQ33" s="104" t="s">
        <v>1485</v>
      </c>
      <c r="AR33" s="203" t="s">
        <v>1299</v>
      </c>
    </row>
    <row r="34" spans="1:44" ht="210" customHeight="1" x14ac:dyDescent="0.25">
      <c r="A34" s="156"/>
      <c r="B34" s="148"/>
      <c r="C34" s="149"/>
      <c r="D34" s="99"/>
      <c r="E34" s="105"/>
      <c r="F34" s="99"/>
      <c r="G34" s="12" t="s">
        <v>391</v>
      </c>
      <c r="H34" s="14">
        <v>43497</v>
      </c>
      <c r="I34" s="14">
        <v>43830</v>
      </c>
      <c r="J34" s="33" t="s">
        <v>15</v>
      </c>
      <c r="K34" s="153"/>
      <c r="L34" s="108"/>
      <c r="M34" s="105"/>
      <c r="N34" s="105"/>
      <c r="O34" s="116"/>
      <c r="P34" s="158"/>
      <c r="Q34" s="99"/>
      <c r="R34" s="104"/>
      <c r="S34" s="104"/>
      <c r="T34" s="142"/>
      <c r="U34" s="138"/>
      <c r="V34" s="105"/>
      <c r="W34" s="98"/>
      <c r="X34" s="98"/>
      <c r="Y34" s="99"/>
      <c r="Z34" s="104"/>
      <c r="AA34" s="104"/>
      <c r="AB34" s="142"/>
      <c r="AC34" s="138"/>
      <c r="AD34" s="138"/>
      <c r="AE34" s="98"/>
      <c r="AF34" s="98"/>
      <c r="AG34" s="99"/>
      <c r="AH34" s="104"/>
      <c r="AI34" s="104"/>
      <c r="AJ34" s="106"/>
      <c r="AK34" s="105"/>
      <c r="AL34" s="105"/>
      <c r="AM34" s="98"/>
      <c r="AN34" s="98"/>
      <c r="AO34" s="99"/>
      <c r="AP34" s="104"/>
      <c r="AQ34" s="104"/>
      <c r="AR34" s="204"/>
    </row>
    <row r="35" spans="1:44" ht="210" customHeight="1" x14ac:dyDescent="0.25">
      <c r="A35" s="156"/>
      <c r="B35" s="148"/>
      <c r="C35" s="149"/>
      <c r="D35" s="99"/>
      <c r="E35" s="105"/>
      <c r="F35" s="99"/>
      <c r="G35" s="12" t="s">
        <v>392</v>
      </c>
      <c r="H35" s="14">
        <v>43739</v>
      </c>
      <c r="I35" s="14">
        <v>43830</v>
      </c>
      <c r="J35" s="33" t="s">
        <v>15</v>
      </c>
      <c r="K35" s="153"/>
      <c r="L35" s="108"/>
      <c r="M35" s="105"/>
      <c r="N35" s="105"/>
      <c r="O35" s="116"/>
      <c r="P35" s="158"/>
      <c r="Q35" s="99"/>
      <c r="R35" s="104"/>
      <c r="S35" s="104"/>
      <c r="T35" s="143"/>
      <c r="U35" s="139"/>
      <c r="V35" s="105"/>
      <c r="W35" s="98"/>
      <c r="X35" s="98"/>
      <c r="Y35" s="99"/>
      <c r="Z35" s="104"/>
      <c r="AA35" s="104"/>
      <c r="AB35" s="143"/>
      <c r="AC35" s="139"/>
      <c r="AD35" s="139"/>
      <c r="AE35" s="98"/>
      <c r="AF35" s="98"/>
      <c r="AG35" s="99"/>
      <c r="AH35" s="104"/>
      <c r="AI35" s="104"/>
      <c r="AJ35" s="106"/>
      <c r="AK35" s="105"/>
      <c r="AL35" s="105"/>
      <c r="AM35" s="98"/>
      <c r="AN35" s="98"/>
      <c r="AO35" s="99"/>
      <c r="AP35" s="104"/>
      <c r="AQ35" s="104"/>
      <c r="AR35" s="205"/>
    </row>
    <row r="36" spans="1:44" x14ac:dyDescent="0.25">
      <c r="A36" s="92" t="s">
        <v>380</v>
      </c>
      <c r="B36" s="22" t="s">
        <v>380</v>
      </c>
      <c r="C36" s="47"/>
      <c r="D36" s="7" t="s">
        <v>380</v>
      </c>
      <c r="E36" s="7" t="s">
        <v>380</v>
      </c>
      <c r="F36" s="7" t="s">
        <v>380</v>
      </c>
      <c r="G36" s="45" t="s">
        <v>380</v>
      </c>
      <c r="H36" s="7" t="s">
        <v>380</v>
      </c>
      <c r="I36" s="7" t="s">
        <v>380</v>
      </c>
      <c r="J36" s="21" t="s">
        <v>380</v>
      </c>
      <c r="K36" s="29" t="s">
        <v>380</v>
      </c>
      <c r="L36" s="29" t="s">
        <v>380</v>
      </c>
      <c r="M36" s="7" t="s">
        <v>380</v>
      </c>
      <c r="N36" s="7" t="s">
        <v>380</v>
      </c>
      <c r="O36" s="7" t="s">
        <v>380</v>
      </c>
      <c r="P36" s="7" t="s">
        <v>380</v>
      </c>
      <c r="Q36" s="7" t="s">
        <v>380</v>
      </c>
      <c r="R36" s="7" t="s">
        <v>380</v>
      </c>
      <c r="S36" s="7" t="s">
        <v>380</v>
      </c>
      <c r="T36" s="22" t="s">
        <v>380</v>
      </c>
      <c r="U36" s="7" t="s">
        <v>380</v>
      </c>
      <c r="V36" s="7" t="s">
        <v>380</v>
      </c>
      <c r="W36" s="7" t="s">
        <v>380</v>
      </c>
      <c r="X36" s="7" t="s">
        <v>380</v>
      </c>
      <c r="Y36" s="22" t="s">
        <v>380</v>
      </c>
      <c r="Z36" s="81" t="s">
        <v>380</v>
      </c>
      <c r="AA36" s="81" t="s">
        <v>380</v>
      </c>
      <c r="AB36" s="22" t="s">
        <v>380</v>
      </c>
      <c r="AC36" s="7" t="s">
        <v>380</v>
      </c>
      <c r="AD36" s="7" t="s">
        <v>380</v>
      </c>
      <c r="AE36" s="7" t="s">
        <v>380</v>
      </c>
      <c r="AF36" s="71" t="s">
        <v>380</v>
      </c>
      <c r="AG36" s="7" t="s">
        <v>380</v>
      </c>
      <c r="AH36" s="81" t="s">
        <v>380</v>
      </c>
      <c r="AI36" s="81" t="s">
        <v>380</v>
      </c>
      <c r="AJ36" s="22" t="s">
        <v>380</v>
      </c>
      <c r="AK36" s="7" t="s">
        <v>380</v>
      </c>
      <c r="AL36" s="7" t="s">
        <v>380</v>
      </c>
      <c r="AM36" s="7" t="s">
        <v>380</v>
      </c>
      <c r="AN36" s="7" t="s">
        <v>380</v>
      </c>
      <c r="AO36" s="7" t="s">
        <v>380</v>
      </c>
      <c r="AP36" s="81" t="s">
        <v>380</v>
      </c>
      <c r="AQ36" s="81" t="s">
        <v>380</v>
      </c>
      <c r="AR36" s="82" t="s">
        <v>380</v>
      </c>
    </row>
    <row r="37" spans="1:44" ht="31.5" customHeight="1" x14ac:dyDescent="0.25">
      <c r="A37" s="147" t="s">
        <v>97</v>
      </c>
      <c r="B37" s="148" t="s">
        <v>297</v>
      </c>
      <c r="C37" s="149" t="s">
        <v>911</v>
      </c>
      <c r="D37" s="99" t="s">
        <v>1001</v>
      </c>
      <c r="E37" s="99" t="s">
        <v>821</v>
      </c>
      <c r="F37" s="99" t="s">
        <v>26</v>
      </c>
      <c r="G37" s="12" t="s">
        <v>272</v>
      </c>
      <c r="H37" s="16">
        <v>43528</v>
      </c>
      <c r="I37" s="16">
        <v>43735</v>
      </c>
      <c r="J37" s="33" t="s">
        <v>589</v>
      </c>
      <c r="K37" s="153" t="s">
        <v>311</v>
      </c>
      <c r="L37" s="108" t="s">
        <v>704</v>
      </c>
      <c r="M37" s="105" t="s">
        <v>704</v>
      </c>
      <c r="N37" s="115" t="s">
        <v>466</v>
      </c>
      <c r="O37" s="98">
        <f>IFERROR((78.57%/70%),"No aplica")</f>
        <v>1.1224285714285713</v>
      </c>
      <c r="P37" s="117" t="s">
        <v>469</v>
      </c>
      <c r="Q37" s="99" t="s">
        <v>468</v>
      </c>
      <c r="R37" s="104" t="s">
        <v>467</v>
      </c>
      <c r="S37" s="104" t="s">
        <v>558</v>
      </c>
      <c r="T37" s="106" t="s">
        <v>704</v>
      </c>
      <c r="U37" s="105" t="s">
        <v>704</v>
      </c>
      <c r="V37" s="115" t="s">
        <v>705</v>
      </c>
      <c r="W37" s="98">
        <f>IFERROR((81.97%/70%),"No aplica")</f>
        <v>1.171</v>
      </c>
      <c r="X37" s="117" t="s">
        <v>469</v>
      </c>
      <c r="Y37" s="99" t="s">
        <v>468</v>
      </c>
      <c r="Z37" s="104" t="s">
        <v>792</v>
      </c>
      <c r="AA37" s="104" t="s">
        <v>793</v>
      </c>
      <c r="AB37" s="106" t="s">
        <v>704</v>
      </c>
      <c r="AC37" s="105" t="s">
        <v>704</v>
      </c>
      <c r="AD37" s="115" t="s">
        <v>1077</v>
      </c>
      <c r="AE37" s="98">
        <f>IFERROR((81.49%/70%),"No aplica")</f>
        <v>1.1641428571428571</v>
      </c>
      <c r="AF37" s="117" t="s">
        <v>469</v>
      </c>
      <c r="AG37" s="99" t="s">
        <v>468</v>
      </c>
      <c r="AH37" s="104" t="s">
        <v>1078</v>
      </c>
      <c r="AI37" s="104" t="s">
        <v>1079</v>
      </c>
      <c r="AJ37" s="106" t="s">
        <v>704</v>
      </c>
      <c r="AK37" s="105" t="s">
        <v>704</v>
      </c>
      <c r="AL37" s="115" t="s">
        <v>1301</v>
      </c>
      <c r="AM37" s="98">
        <f>IFERROR((76.35%/70%),"No aplica")</f>
        <v>1.0907142857142857</v>
      </c>
      <c r="AN37" s="117" t="s">
        <v>469</v>
      </c>
      <c r="AO37" s="99" t="s">
        <v>468</v>
      </c>
      <c r="AP37" s="104" t="s">
        <v>1300</v>
      </c>
      <c r="AQ37" s="104" t="s">
        <v>1424</v>
      </c>
      <c r="AR37" s="203" t="s">
        <v>1425</v>
      </c>
    </row>
    <row r="38" spans="1:44" ht="31.5" x14ac:dyDescent="0.25">
      <c r="A38" s="147"/>
      <c r="B38" s="148"/>
      <c r="C38" s="149"/>
      <c r="D38" s="99"/>
      <c r="E38" s="99"/>
      <c r="F38" s="99"/>
      <c r="G38" s="12" t="s">
        <v>80</v>
      </c>
      <c r="H38" s="16">
        <v>43528</v>
      </c>
      <c r="I38" s="16">
        <v>43735</v>
      </c>
      <c r="J38" s="33" t="s">
        <v>589</v>
      </c>
      <c r="K38" s="153"/>
      <c r="L38" s="108"/>
      <c r="M38" s="105"/>
      <c r="N38" s="105"/>
      <c r="O38" s="98"/>
      <c r="P38" s="117"/>
      <c r="Q38" s="99"/>
      <c r="R38" s="104"/>
      <c r="S38" s="104"/>
      <c r="T38" s="106"/>
      <c r="U38" s="105"/>
      <c r="V38" s="105"/>
      <c r="W38" s="98"/>
      <c r="X38" s="98"/>
      <c r="Y38" s="99"/>
      <c r="Z38" s="104"/>
      <c r="AA38" s="104"/>
      <c r="AB38" s="106"/>
      <c r="AC38" s="105"/>
      <c r="AD38" s="105"/>
      <c r="AE38" s="98"/>
      <c r="AF38" s="98"/>
      <c r="AG38" s="99"/>
      <c r="AH38" s="104"/>
      <c r="AI38" s="104"/>
      <c r="AJ38" s="106"/>
      <c r="AK38" s="105"/>
      <c r="AL38" s="105"/>
      <c r="AM38" s="98"/>
      <c r="AN38" s="117"/>
      <c r="AO38" s="99"/>
      <c r="AP38" s="104"/>
      <c r="AQ38" s="104"/>
      <c r="AR38" s="204"/>
    </row>
    <row r="39" spans="1:44" ht="31.5" x14ac:dyDescent="0.25">
      <c r="A39" s="147"/>
      <c r="B39" s="148"/>
      <c r="C39" s="149"/>
      <c r="D39" s="99"/>
      <c r="E39" s="99"/>
      <c r="F39" s="99"/>
      <c r="G39" s="12" t="s">
        <v>38</v>
      </c>
      <c r="H39" s="16">
        <v>43556</v>
      </c>
      <c r="I39" s="16">
        <v>43798</v>
      </c>
      <c r="J39" s="33" t="s">
        <v>589</v>
      </c>
      <c r="K39" s="153"/>
      <c r="L39" s="108"/>
      <c r="M39" s="105"/>
      <c r="N39" s="105"/>
      <c r="O39" s="98"/>
      <c r="P39" s="117"/>
      <c r="Q39" s="99"/>
      <c r="R39" s="104"/>
      <c r="S39" s="104"/>
      <c r="T39" s="106"/>
      <c r="U39" s="105"/>
      <c r="V39" s="105"/>
      <c r="W39" s="98"/>
      <c r="X39" s="98"/>
      <c r="Y39" s="99"/>
      <c r="Z39" s="104"/>
      <c r="AA39" s="104"/>
      <c r="AB39" s="106"/>
      <c r="AC39" s="105"/>
      <c r="AD39" s="105"/>
      <c r="AE39" s="98"/>
      <c r="AF39" s="98"/>
      <c r="AG39" s="99"/>
      <c r="AH39" s="104"/>
      <c r="AI39" s="104"/>
      <c r="AJ39" s="106"/>
      <c r="AK39" s="105"/>
      <c r="AL39" s="105"/>
      <c r="AM39" s="98"/>
      <c r="AN39" s="117"/>
      <c r="AO39" s="99"/>
      <c r="AP39" s="104"/>
      <c r="AQ39" s="104"/>
      <c r="AR39" s="204"/>
    </row>
    <row r="40" spans="1:44" ht="31.5" x14ac:dyDescent="0.25">
      <c r="A40" s="147"/>
      <c r="B40" s="148"/>
      <c r="C40" s="149"/>
      <c r="D40" s="99"/>
      <c r="E40" s="99"/>
      <c r="F40" s="99"/>
      <c r="G40" s="12" t="s">
        <v>39</v>
      </c>
      <c r="H40" s="16">
        <v>43500</v>
      </c>
      <c r="I40" s="16">
        <v>43826</v>
      </c>
      <c r="J40" s="33" t="s">
        <v>589</v>
      </c>
      <c r="K40" s="153"/>
      <c r="L40" s="108"/>
      <c r="M40" s="105"/>
      <c r="N40" s="105"/>
      <c r="O40" s="98"/>
      <c r="P40" s="117"/>
      <c r="Q40" s="99"/>
      <c r="R40" s="104"/>
      <c r="S40" s="104"/>
      <c r="T40" s="106"/>
      <c r="U40" s="105"/>
      <c r="V40" s="105"/>
      <c r="W40" s="98"/>
      <c r="X40" s="98"/>
      <c r="Y40" s="99"/>
      <c r="Z40" s="104"/>
      <c r="AA40" s="104"/>
      <c r="AB40" s="106"/>
      <c r="AC40" s="105"/>
      <c r="AD40" s="105"/>
      <c r="AE40" s="98"/>
      <c r="AF40" s="98"/>
      <c r="AG40" s="99"/>
      <c r="AH40" s="104"/>
      <c r="AI40" s="104"/>
      <c r="AJ40" s="106"/>
      <c r="AK40" s="105"/>
      <c r="AL40" s="105"/>
      <c r="AM40" s="98"/>
      <c r="AN40" s="117"/>
      <c r="AO40" s="99"/>
      <c r="AP40" s="104"/>
      <c r="AQ40" s="104"/>
      <c r="AR40" s="204"/>
    </row>
    <row r="41" spans="1:44" ht="31.5" x14ac:dyDescent="0.25">
      <c r="A41" s="147"/>
      <c r="B41" s="148"/>
      <c r="C41" s="149"/>
      <c r="D41" s="99"/>
      <c r="E41" s="99"/>
      <c r="F41" s="99"/>
      <c r="G41" s="44" t="s">
        <v>40</v>
      </c>
      <c r="H41" s="16">
        <v>43500</v>
      </c>
      <c r="I41" s="16">
        <v>43826</v>
      </c>
      <c r="J41" s="33" t="s">
        <v>589</v>
      </c>
      <c r="K41" s="153"/>
      <c r="L41" s="108"/>
      <c r="M41" s="105"/>
      <c r="N41" s="105"/>
      <c r="O41" s="98"/>
      <c r="P41" s="117"/>
      <c r="Q41" s="99"/>
      <c r="R41" s="104"/>
      <c r="S41" s="104"/>
      <c r="T41" s="106"/>
      <c r="U41" s="105"/>
      <c r="V41" s="105"/>
      <c r="W41" s="98"/>
      <c r="X41" s="98"/>
      <c r="Y41" s="99"/>
      <c r="Z41" s="104"/>
      <c r="AA41" s="104"/>
      <c r="AB41" s="106"/>
      <c r="AC41" s="105"/>
      <c r="AD41" s="105"/>
      <c r="AE41" s="98"/>
      <c r="AF41" s="98"/>
      <c r="AG41" s="99"/>
      <c r="AH41" s="104"/>
      <c r="AI41" s="104"/>
      <c r="AJ41" s="106"/>
      <c r="AK41" s="105"/>
      <c r="AL41" s="105"/>
      <c r="AM41" s="98"/>
      <c r="AN41" s="117"/>
      <c r="AO41" s="99"/>
      <c r="AP41" s="104"/>
      <c r="AQ41" s="104"/>
      <c r="AR41" s="204"/>
    </row>
    <row r="42" spans="1:44" ht="31.5" customHeight="1" x14ac:dyDescent="0.25">
      <c r="A42" s="147"/>
      <c r="B42" s="148"/>
      <c r="C42" s="149"/>
      <c r="D42" s="99"/>
      <c r="E42" s="99"/>
      <c r="F42" s="99" t="s">
        <v>273</v>
      </c>
      <c r="G42" s="12" t="s">
        <v>702</v>
      </c>
      <c r="H42" s="16">
        <v>43479</v>
      </c>
      <c r="I42" s="16">
        <v>43812</v>
      </c>
      <c r="J42" s="33" t="s">
        <v>589</v>
      </c>
      <c r="K42" s="153"/>
      <c r="L42" s="108"/>
      <c r="M42" s="105"/>
      <c r="N42" s="105"/>
      <c r="O42" s="98"/>
      <c r="P42" s="117"/>
      <c r="Q42" s="99"/>
      <c r="R42" s="104"/>
      <c r="S42" s="104"/>
      <c r="T42" s="106"/>
      <c r="U42" s="105"/>
      <c r="V42" s="105"/>
      <c r="W42" s="98"/>
      <c r="X42" s="98"/>
      <c r="Y42" s="99"/>
      <c r="Z42" s="104"/>
      <c r="AA42" s="104"/>
      <c r="AB42" s="106"/>
      <c r="AC42" s="105"/>
      <c r="AD42" s="105"/>
      <c r="AE42" s="98"/>
      <c r="AF42" s="98"/>
      <c r="AG42" s="99"/>
      <c r="AH42" s="104"/>
      <c r="AI42" s="104"/>
      <c r="AJ42" s="106"/>
      <c r="AK42" s="105"/>
      <c r="AL42" s="105"/>
      <c r="AM42" s="98"/>
      <c r="AN42" s="117"/>
      <c r="AO42" s="99"/>
      <c r="AP42" s="104"/>
      <c r="AQ42" s="104"/>
      <c r="AR42" s="204"/>
    </row>
    <row r="43" spans="1:44" ht="31.5" x14ac:dyDescent="0.25">
      <c r="A43" s="147"/>
      <c r="B43" s="148"/>
      <c r="C43" s="149"/>
      <c r="D43" s="99"/>
      <c r="E43" s="99"/>
      <c r="F43" s="99"/>
      <c r="G43" s="12" t="s">
        <v>31</v>
      </c>
      <c r="H43" s="16">
        <v>43479</v>
      </c>
      <c r="I43" s="16">
        <v>43812</v>
      </c>
      <c r="J43" s="33" t="s">
        <v>589</v>
      </c>
      <c r="K43" s="153"/>
      <c r="L43" s="108"/>
      <c r="M43" s="105"/>
      <c r="N43" s="105"/>
      <c r="O43" s="98"/>
      <c r="P43" s="117"/>
      <c r="Q43" s="99"/>
      <c r="R43" s="104"/>
      <c r="S43" s="104"/>
      <c r="T43" s="106"/>
      <c r="U43" s="105"/>
      <c r="V43" s="105"/>
      <c r="W43" s="98"/>
      <c r="X43" s="98"/>
      <c r="Y43" s="99"/>
      <c r="Z43" s="104"/>
      <c r="AA43" s="104"/>
      <c r="AB43" s="106"/>
      <c r="AC43" s="105"/>
      <c r="AD43" s="105"/>
      <c r="AE43" s="98"/>
      <c r="AF43" s="98"/>
      <c r="AG43" s="99"/>
      <c r="AH43" s="104"/>
      <c r="AI43" s="104"/>
      <c r="AJ43" s="106"/>
      <c r="AK43" s="105"/>
      <c r="AL43" s="105"/>
      <c r="AM43" s="98"/>
      <c r="AN43" s="117"/>
      <c r="AO43" s="99"/>
      <c r="AP43" s="104"/>
      <c r="AQ43" s="104"/>
      <c r="AR43" s="204"/>
    </row>
    <row r="44" spans="1:44" ht="31.5" x14ac:dyDescent="0.25">
      <c r="A44" s="147"/>
      <c r="B44" s="148"/>
      <c r="C44" s="149"/>
      <c r="D44" s="99"/>
      <c r="E44" s="99"/>
      <c r="F44" s="99"/>
      <c r="G44" s="12" t="s">
        <v>32</v>
      </c>
      <c r="H44" s="16">
        <v>43479</v>
      </c>
      <c r="I44" s="16">
        <v>43812</v>
      </c>
      <c r="J44" s="33" t="s">
        <v>589</v>
      </c>
      <c r="K44" s="153"/>
      <c r="L44" s="108"/>
      <c r="M44" s="105"/>
      <c r="N44" s="105"/>
      <c r="O44" s="98"/>
      <c r="P44" s="117"/>
      <c r="Q44" s="99"/>
      <c r="R44" s="104"/>
      <c r="S44" s="104"/>
      <c r="T44" s="106"/>
      <c r="U44" s="105"/>
      <c r="V44" s="105"/>
      <c r="W44" s="98"/>
      <c r="X44" s="98"/>
      <c r="Y44" s="99"/>
      <c r="Z44" s="104"/>
      <c r="AA44" s="104"/>
      <c r="AB44" s="106"/>
      <c r="AC44" s="105"/>
      <c r="AD44" s="105"/>
      <c r="AE44" s="98"/>
      <c r="AF44" s="98"/>
      <c r="AG44" s="99"/>
      <c r="AH44" s="104"/>
      <c r="AI44" s="104"/>
      <c r="AJ44" s="106"/>
      <c r="AK44" s="105"/>
      <c r="AL44" s="105"/>
      <c r="AM44" s="98"/>
      <c r="AN44" s="117"/>
      <c r="AO44" s="99"/>
      <c r="AP44" s="104"/>
      <c r="AQ44" s="104"/>
      <c r="AR44" s="205"/>
    </row>
    <row r="45" spans="1:44" ht="72" customHeight="1" x14ac:dyDescent="0.25">
      <c r="A45" s="147" t="s">
        <v>97</v>
      </c>
      <c r="B45" s="148" t="s">
        <v>298</v>
      </c>
      <c r="C45" s="149" t="s">
        <v>912</v>
      </c>
      <c r="D45" s="99" t="s">
        <v>1002</v>
      </c>
      <c r="E45" s="99">
        <v>0</v>
      </c>
      <c r="F45" s="99" t="s">
        <v>274</v>
      </c>
      <c r="G45" s="12" t="s">
        <v>28</v>
      </c>
      <c r="H45" s="16">
        <v>43479</v>
      </c>
      <c r="I45" s="16">
        <v>43524</v>
      </c>
      <c r="J45" s="33" t="s">
        <v>589</v>
      </c>
      <c r="K45" s="153" t="s">
        <v>311</v>
      </c>
      <c r="L45" s="108" t="s">
        <v>27</v>
      </c>
      <c r="M45" s="105" t="s">
        <v>471</v>
      </c>
      <c r="N45" s="105" t="s">
        <v>471</v>
      </c>
      <c r="O45" s="98">
        <f>IFERROR((2/2),"No aplica")</f>
        <v>1</v>
      </c>
      <c r="P45" s="150">
        <f>IFERROR((2/11),"No aplica")</f>
        <v>0.18181818181818182</v>
      </c>
      <c r="Q45" s="99" t="s">
        <v>458</v>
      </c>
      <c r="R45" s="104" t="s">
        <v>470</v>
      </c>
      <c r="S45" s="104" t="s">
        <v>551</v>
      </c>
      <c r="T45" s="106" t="s">
        <v>27</v>
      </c>
      <c r="U45" s="105" t="s">
        <v>706</v>
      </c>
      <c r="V45" s="105" t="s">
        <v>706</v>
      </c>
      <c r="W45" s="98">
        <f>IFERROR((3/3),"No aplica")</f>
        <v>1</v>
      </c>
      <c r="X45" s="98">
        <f>IFERROR((5/11),"No aplica")</f>
        <v>0.45454545454545453</v>
      </c>
      <c r="Y45" s="99" t="s">
        <v>458</v>
      </c>
      <c r="Z45" s="104" t="s">
        <v>794</v>
      </c>
      <c r="AA45" s="104" t="s">
        <v>798</v>
      </c>
      <c r="AB45" s="106" t="s">
        <v>27</v>
      </c>
      <c r="AC45" s="105" t="s">
        <v>706</v>
      </c>
      <c r="AD45" s="105" t="s">
        <v>706</v>
      </c>
      <c r="AE45" s="98">
        <f>IFERROR((3/3),"No aplica")</f>
        <v>1</v>
      </c>
      <c r="AF45" s="98">
        <f>IFERROR(((2+3+3)/11),"No aplica")</f>
        <v>0.72727272727272729</v>
      </c>
      <c r="AG45" s="99" t="s">
        <v>458</v>
      </c>
      <c r="AH45" s="104" t="s">
        <v>1198</v>
      </c>
      <c r="AI45" s="104" t="s">
        <v>1080</v>
      </c>
      <c r="AJ45" s="106" t="s">
        <v>27</v>
      </c>
      <c r="AK45" s="105" t="s">
        <v>706</v>
      </c>
      <c r="AL45" s="105" t="s">
        <v>706</v>
      </c>
      <c r="AM45" s="98">
        <f>IFERROR((3/3),"No aplica")</f>
        <v>1</v>
      </c>
      <c r="AN45" s="98">
        <f>IFERROR(((2+3+3+3)/11),"No aplica")</f>
        <v>1</v>
      </c>
      <c r="AO45" s="99" t="s">
        <v>458</v>
      </c>
      <c r="AP45" s="104" t="s">
        <v>1302</v>
      </c>
      <c r="AQ45" s="104" t="s">
        <v>1303</v>
      </c>
      <c r="AR45" s="203" t="s">
        <v>1487</v>
      </c>
    </row>
    <row r="46" spans="1:44" ht="72" customHeight="1" x14ac:dyDescent="0.25">
      <c r="A46" s="147"/>
      <c r="B46" s="148"/>
      <c r="C46" s="149"/>
      <c r="D46" s="99"/>
      <c r="E46" s="99"/>
      <c r="F46" s="99"/>
      <c r="G46" s="43" t="s">
        <v>75</v>
      </c>
      <c r="H46" s="16">
        <v>43467</v>
      </c>
      <c r="I46" s="16">
        <v>43585</v>
      </c>
      <c r="J46" s="33" t="s">
        <v>589</v>
      </c>
      <c r="K46" s="153"/>
      <c r="L46" s="108"/>
      <c r="M46" s="105"/>
      <c r="N46" s="105"/>
      <c r="O46" s="98"/>
      <c r="P46" s="150"/>
      <c r="Q46" s="99"/>
      <c r="R46" s="104"/>
      <c r="S46" s="104"/>
      <c r="T46" s="106"/>
      <c r="U46" s="105"/>
      <c r="V46" s="105"/>
      <c r="W46" s="98"/>
      <c r="X46" s="98"/>
      <c r="Y46" s="99"/>
      <c r="Z46" s="104"/>
      <c r="AA46" s="104"/>
      <c r="AB46" s="106"/>
      <c r="AC46" s="105"/>
      <c r="AD46" s="105"/>
      <c r="AE46" s="98"/>
      <c r="AF46" s="98"/>
      <c r="AG46" s="99"/>
      <c r="AH46" s="104"/>
      <c r="AI46" s="104"/>
      <c r="AJ46" s="106"/>
      <c r="AK46" s="105"/>
      <c r="AL46" s="105"/>
      <c r="AM46" s="98"/>
      <c r="AN46" s="98"/>
      <c r="AO46" s="99"/>
      <c r="AP46" s="104"/>
      <c r="AQ46" s="104"/>
      <c r="AR46" s="204"/>
    </row>
    <row r="47" spans="1:44" ht="72" customHeight="1" x14ac:dyDescent="0.25">
      <c r="A47" s="147"/>
      <c r="B47" s="148"/>
      <c r="C47" s="149"/>
      <c r="D47" s="99"/>
      <c r="E47" s="99"/>
      <c r="F47" s="99"/>
      <c r="G47" s="43" t="s">
        <v>76</v>
      </c>
      <c r="H47" s="16">
        <v>43587</v>
      </c>
      <c r="I47" s="16">
        <v>43830</v>
      </c>
      <c r="J47" s="33" t="s">
        <v>589</v>
      </c>
      <c r="K47" s="153"/>
      <c r="L47" s="108"/>
      <c r="M47" s="105"/>
      <c r="N47" s="105"/>
      <c r="O47" s="98"/>
      <c r="P47" s="150"/>
      <c r="Q47" s="99"/>
      <c r="R47" s="104"/>
      <c r="S47" s="104"/>
      <c r="T47" s="106"/>
      <c r="U47" s="105"/>
      <c r="V47" s="105"/>
      <c r="W47" s="98"/>
      <c r="X47" s="98"/>
      <c r="Y47" s="99"/>
      <c r="Z47" s="104"/>
      <c r="AA47" s="104"/>
      <c r="AB47" s="106"/>
      <c r="AC47" s="105"/>
      <c r="AD47" s="105"/>
      <c r="AE47" s="98"/>
      <c r="AF47" s="98"/>
      <c r="AG47" s="99"/>
      <c r="AH47" s="104"/>
      <c r="AI47" s="104"/>
      <c r="AJ47" s="106"/>
      <c r="AK47" s="105"/>
      <c r="AL47" s="105"/>
      <c r="AM47" s="98"/>
      <c r="AN47" s="98"/>
      <c r="AO47" s="99"/>
      <c r="AP47" s="104"/>
      <c r="AQ47" s="104"/>
      <c r="AR47" s="205"/>
    </row>
    <row r="48" spans="1:44" ht="31.5" customHeight="1" x14ac:dyDescent="0.25">
      <c r="A48" s="165" t="s">
        <v>97</v>
      </c>
      <c r="B48" s="166" t="s">
        <v>299</v>
      </c>
      <c r="C48" s="167" t="s">
        <v>904</v>
      </c>
      <c r="D48" s="159" t="s">
        <v>1003</v>
      </c>
      <c r="E48" s="159">
        <v>0</v>
      </c>
      <c r="F48" s="159" t="s">
        <v>393</v>
      </c>
      <c r="G48" s="59" t="s">
        <v>30</v>
      </c>
      <c r="H48" s="60">
        <v>43467</v>
      </c>
      <c r="I48" s="60">
        <v>43645</v>
      </c>
      <c r="J48" s="61" t="s">
        <v>589</v>
      </c>
      <c r="K48" s="160" t="s">
        <v>311</v>
      </c>
      <c r="L48" s="108" t="s">
        <v>29</v>
      </c>
      <c r="M48" s="105" t="s">
        <v>472</v>
      </c>
      <c r="N48" s="115" t="s">
        <v>473</v>
      </c>
      <c r="O48" s="98">
        <f>IFERROR((99.78%/97%),"No aplica")</f>
        <v>1.0286597938144331</v>
      </c>
      <c r="P48" s="117" t="s">
        <v>469</v>
      </c>
      <c r="Q48" s="99" t="s">
        <v>458</v>
      </c>
      <c r="R48" s="104" t="s">
        <v>559</v>
      </c>
      <c r="S48" s="104" t="s">
        <v>560</v>
      </c>
      <c r="T48" s="106" t="s">
        <v>472</v>
      </c>
      <c r="U48" s="105" t="s">
        <v>472</v>
      </c>
      <c r="V48" s="115" t="s">
        <v>707</v>
      </c>
      <c r="W48" s="98">
        <f>IFERROR((98.85%/97%),"No aplica")</f>
        <v>1.0190721649484535</v>
      </c>
      <c r="X48" s="117" t="s">
        <v>469</v>
      </c>
      <c r="Y48" s="99" t="s">
        <v>458</v>
      </c>
      <c r="Z48" s="104" t="s">
        <v>799</v>
      </c>
      <c r="AA48" s="104" t="s">
        <v>795</v>
      </c>
      <c r="AB48" s="106" t="s">
        <v>472</v>
      </c>
      <c r="AC48" s="105" t="s">
        <v>472</v>
      </c>
      <c r="AD48" s="115" t="s">
        <v>1081</v>
      </c>
      <c r="AE48" s="98">
        <f>IFERROR((99.89%/97%),"No aplica")</f>
        <v>1.0297938144329897</v>
      </c>
      <c r="AF48" s="117" t="s">
        <v>469</v>
      </c>
      <c r="AG48" s="99" t="s">
        <v>458</v>
      </c>
      <c r="AH48" s="104" t="s">
        <v>1145</v>
      </c>
      <c r="AI48" s="104" t="s">
        <v>1082</v>
      </c>
      <c r="AJ48" s="106" t="s">
        <v>472</v>
      </c>
      <c r="AK48" s="105" t="s">
        <v>472</v>
      </c>
      <c r="AL48" s="115" t="s">
        <v>1304</v>
      </c>
      <c r="AM48" s="98">
        <f>IFERROR((100%/97%),"No aplica")</f>
        <v>1.0309278350515465</v>
      </c>
      <c r="AN48" s="117" t="s">
        <v>469</v>
      </c>
      <c r="AO48" s="99" t="s">
        <v>458</v>
      </c>
      <c r="AP48" s="104" t="s">
        <v>1426</v>
      </c>
      <c r="AQ48" s="104" t="s">
        <v>1488</v>
      </c>
      <c r="AR48" s="203" t="s">
        <v>1427</v>
      </c>
    </row>
    <row r="49" spans="1:44" ht="31.5" x14ac:dyDescent="0.25">
      <c r="A49" s="165"/>
      <c r="B49" s="166"/>
      <c r="C49" s="167"/>
      <c r="D49" s="159"/>
      <c r="E49" s="159"/>
      <c r="F49" s="159"/>
      <c r="G49" s="59" t="s">
        <v>33</v>
      </c>
      <c r="H49" s="60">
        <v>43479</v>
      </c>
      <c r="I49" s="60">
        <v>43769</v>
      </c>
      <c r="J49" s="61" t="s">
        <v>589</v>
      </c>
      <c r="K49" s="160"/>
      <c r="L49" s="108"/>
      <c r="M49" s="105"/>
      <c r="N49" s="105"/>
      <c r="O49" s="98"/>
      <c r="P49" s="117"/>
      <c r="Q49" s="99"/>
      <c r="R49" s="104"/>
      <c r="S49" s="104"/>
      <c r="T49" s="106"/>
      <c r="U49" s="105"/>
      <c r="V49" s="105"/>
      <c r="W49" s="98"/>
      <c r="X49" s="98"/>
      <c r="Y49" s="99"/>
      <c r="Z49" s="104"/>
      <c r="AA49" s="104"/>
      <c r="AB49" s="106"/>
      <c r="AC49" s="105"/>
      <c r="AD49" s="105"/>
      <c r="AE49" s="98"/>
      <c r="AF49" s="98"/>
      <c r="AG49" s="99"/>
      <c r="AH49" s="104"/>
      <c r="AI49" s="104"/>
      <c r="AJ49" s="106"/>
      <c r="AK49" s="105"/>
      <c r="AL49" s="105"/>
      <c r="AM49" s="98"/>
      <c r="AN49" s="117"/>
      <c r="AO49" s="99"/>
      <c r="AP49" s="104"/>
      <c r="AQ49" s="104"/>
      <c r="AR49" s="204"/>
    </row>
    <row r="50" spans="1:44" ht="31.5" x14ac:dyDescent="0.25">
      <c r="A50" s="165"/>
      <c r="B50" s="166"/>
      <c r="C50" s="167"/>
      <c r="D50" s="159"/>
      <c r="E50" s="159"/>
      <c r="F50" s="159"/>
      <c r="G50" s="59" t="s">
        <v>34</v>
      </c>
      <c r="H50" s="60">
        <v>43479</v>
      </c>
      <c r="I50" s="60">
        <v>43645</v>
      </c>
      <c r="J50" s="61" t="s">
        <v>589</v>
      </c>
      <c r="K50" s="160"/>
      <c r="L50" s="108"/>
      <c r="M50" s="105"/>
      <c r="N50" s="105"/>
      <c r="O50" s="98"/>
      <c r="P50" s="117"/>
      <c r="Q50" s="99"/>
      <c r="R50" s="104"/>
      <c r="S50" s="104"/>
      <c r="T50" s="106"/>
      <c r="U50" s="105"/>
      <c r="V50" s="105"/>
      <c r="W50" s="98"/>
      <c r="X50" s="98"/>
      <c r="Y50" s="99"/>
      <c r="Z50" s="104"/>
      <c r="AA50" s="104"/>
      <c r="AB50" s="106"/>
      <c r="AC50" s="105"/>
      <c r="AD50" s="105"/>
      <c r="AE50" s="98"/>
      <c r="AF50" s="98"/>
      <c r="AG50" s="99"/>
      <c r="AH50" s="104"/>
      <c r="AI50" s="104"/>
      <c r="AJ50" s="106"/>
      <c r="AK50" s="105"/>
      <c r="AL50" s="105"/>
      <c r="AM50" s="98"/>
      <c r="AN50" s="117"/>
      <c r="AO50" s="99"/>
      <c r="AP50" s="104"/>
      <c r="AQ50" s="104"/>
      <c r="AR50" s="204"/>
    </row>
    <row r="51" spans="1:44" ht="31.5" x14ac:dyDescent="0.25">
      <c r="A51" s="165"/>
      <c r="B51" s="166"/>
      <c r="C51" s="167"/>
      <c r="D51" s="159"/>
      <c r="E51" s="159"/>
      <c r="F51" s="159"/>
      <c r="G51" s="59" t="s">
        <v>35</v>
      </c>
      <c r="H51" s="60">
        <v>43479</v>
      </c>
      <c r="I51" s="60">
        <v>43645</v>
      </c>
      <c r="J51" s="61" t="s">
        <v>589</v>
      </c>
      <c r="K51" s="160"/>
      <c r="L51" s="108"/>
      <c r="M51" s="105"/>
      <c r="N51" s="105"/>
      <c r="O51" s="98"/>
      <c r="P51" s="117"/>
      <c r="Q51" s="99"/>
      <c r="R51" s="104"/>
      <c r="S51" s="104"/>
      <c r="T51" s="106"/>
      <c r="U51" s="105"/>
      <c r="V51" s="105"/>
      <c r="W51" s="98"/>
      <c r="X51" s="98"/>
      <c r="Y51" s="99"/>
      <c r="Z51" s="104"/>
      <c r="AA51" s="104"/>
      <c r="AB51" s="106"/>
      <c r="AC51" s="105"/>
      <c r="AD51" s="105"/>
      <c r="AE51" s="98"/>
      <c r="AF51" s="98"/>
      <c r="AG51" s="99"/>
      <c r="AH51" s="104"/>
      <c r="AI51" s="104"/>
      <c r="AJ51" s="106"/>
      <c r="AK51" s="105"/>
      <c r="AL51" s="105"/>
      <c r="AM51" s="98"/>
      <c r="AN51" s="117"/>
      <c r="AO51" s="99"/>
      <c r="AP51" s="104"/>
      <c r="AQ51" s="104"/>
      <c r="AR51" s="204"/>
    </row>
    <row r="52" spans="1:44" ht="31.5" x14ac:dyDescent="0.25">
      <c r="A52" s="165"/>
      <c r="B52" s="166"/>
      <c r="C52" s="167"/>
      <c r="D52" s="159"/>
      <c r="E52" s="159"/>
      <c r="F52" s="159"/>
      <c r="G52" s="59" t="s">
        <v>36</v>
      </c>
      <c r="H52" s="60">
        <v>43479</v>
      </c>
      <c r="I52" s="60">
        <v>43645</v>
      </c>
      <c r="J52" s="61" t="s">
        <v>589</v>
      </c>
      <c r="K52" s="160"/>
      <c r="L52" s="108"/>
      <c r="M52" s="105"/>
      <c r="N52" s="105"/>
      <c r="O52" s="98"/>
      <c r="P52" s="117"/>
      <c r="Q52" s="99"/>
      <c r="R52" s="104"/>
      <c r="S52" s="104"/>
      <c r="T52" s="106"/>
      <c r="U52" s="105"/>
      <c r="V52" s="105"/>
      <c r="W52" s="98"/>
      <c r="X52" s="98"/>
      <c r="Y52" s="99"/>
      <c r="Z52" s="104"/>
      <c r="AA52" s="104"/>
      <c r="AB52" s="106"/>
      <c r="AC52" s="105"/>
      <c r="AD52" s="105"/>
      <c r="AE52" s="98"/>
      <c r="AF52" s="98"/>
      <c r="AG52" s="99"/>
      <c r="AH52" s="104"/>
      <c r="AI52" s="104"/>
      <c r="AJ52" s="106"/>
      <c r="AK52" s="105"/>
      <c r="AL52" s="105"/>
      <c r="AM52" s="98"/>
      <c r="AN52" s="117"/>
      <c r="AO52" s="99"/>
      <c r="AP52" s="104"/>
      <c r="AQ52" s="104"/>
      <c r="AR52" s="204"/>
    </row>
    <row r="53" spans="1:44" ht="31.5" x14ac:dyDescent="0.25">
      <c r="A53" s="165"/>
      <c r="B53" s="166"/>
      <c r="C53" s="167"/>
      <c r="D53" s="159"/>
      <c r="E53" s="159"/>
      <c r="F53" s="159"/>
      <c r="G53" s="59" t="s">
        <v>703</v>
      </c>
      <c r="H53" s="60">
        <v>43467</v>
      </c>
      <c r="I53" s="60">
        <v>43830</v>
      </c>
      <c r="J53" s="61" t="s">
        <v>589</v>
      </c>
      <c r="K53" s="160"/>
      <c r="L53" s="108"/>
      <c r="M53" s="105"/>
      <c r="N53" s="105"/>
      <c r="O53" s="98"/>
      <c r="P53" s="117"/>
      <c r="Q53" s="99"/>
      <c r="R53" s="104"/>
      <c r="S53" s="104"/>
      <c r="T53" s="106"/>
      <c r="U53" s="105"/>
      <c r="V53" s="105"/>
      <c r="W53" s="98"/>
      <c r="X53" s="98"/>
      <c r="Y53" s="99"/>
      <c r="Z53" s="104"/>
      <c r="AA53" s="104"/>
      <c r="AB53" s="106"/>
      <c r="AC53" s="105"/>
      <c r="AD53" s="105"/>
      <c r="AE53" s="98"/>
      <c r="AF53" s="98"/>
      <c r="AG53" s="99"/>
      <c r="AH53" s="104"/>
      <c r="AI53" s="104"/>
      <c r="AJ53" s="106"/>
      <c r="AK53" s="105"/>
      <c r="AL53" s="105"/>
      <c r="AM53" s="98"/>
      <c r="AN53" s="117"/>
      <c r="AO53" s="99"/>
      <c r="AP53" s="104"/>
      <c r="AQ53" s="104"/>
      <c r="AR53" s="205"/>
    </row>
    <row r="54" spans="1:44" ht="69" customHeight="1" x14ac:dyDescent="0.25">
      <c r="A54" s="147" t="s">
        <v>97</v>
      </c>
      <c r="B54" s="148" t="s">
        <v>77</v>
      </c>
      <c r="C54" s="99">
        <v>10</v>
      </c>
      <c r="D54" s="99" t="s">
        <v>1004</v>
      </c>
      <c r="E54" s="99">
        <v>0</v>
      </c>
      <c r="F54" s="99" t="s">
        <v>274</v>
      </c>
      <c r="G54" s="12" t="s">
        <v>711</v>
      </c>
      <c r="H54" s="14">
        <v>43473</v>
      </c>
      <c r="I54" s="14">
        <v>43554</v>
      </c>
      <c r="J54" s="33" t="s">
        <v>589</v>
      </c>
      <c r="K54" s="153" t="s">
        <v>311</v>
      </c>
      <c r="L54" s="108" t="s">
        <v>708</v>
      </c>
      <c r="M54" s="105" t="s">
        <v>709</v>
      </c>
      <c r="N54" s="105" t="s">
        <v>709</v>
      </c>
      <c r="O54" s="98" t="str">
        <f>IFERROR((0/0),"No aplica")</f>
        <v>No aplica</v>
      </c>
      <c r="P54" s="150">
        <f>IFERROR((0/7),"No aplica")</f>
        <v>0</v>
      </c>
      <c r="Q54" s="99" t="s">
        <v>457</v>
      </c>
      <c r="R54" s="104" t="s">
        <v>822</v>
      </c>
      <c r="S54" s="104" t="s">
        <v>591</v>
      </c>
      <c r="T54" s="106" t="s">
        <v>710</v>
      </c>
      <c r="U54" s="105" t="s">
        <v>713</v>
      </c>
      <c r="V54" s="105" t="s">
        <v>713</v>
      </c>
      <c r="W54" s="116">
        <f>IFERROR((2/2),"No aplica")</f>
        <v>1</v>
      </c>
      <c r="X54" s="116">
        <f>IFERROR((2/7),"No aplica")</f>
        <v>0.2857142857142857</v>
      </c>
      <c r="Y54" s="99" t="s">
        <v>458</v>
      </c>
      <c r="Z54" s="104" t="s">
        <v>712</v>
      </c>
      <c r="AA54" s="104" t="s">
        <v>823</v>
      </c>
      <c r="AB54" s="106" t="s">
        <v>710</v>
      </c>
      <c r="AC54" s="105" t="s">
        <v>713</v>
      </c>
      <c r="AD54" s="105" t="s">
        <v>1083</v>
      </c>
      <c r="AE54" s="116">
        <f>IFERROR((4/2),"No aplica")</f>
        <v>2</v>
      </c>
      <c r="AF54" s="116">
        <f>IFERROR(((2+4)/7),"No aplica")</f>
        <v>0.8571428571428571</v>
      </c>
      <c r="AG54" s="99" t="s">
        <v>458</v>
      </c>
      <c r="AH54" s="104" t="s">
        <v>1084</v>
      </c>
      <c r="AI54" s="104" t="s">
        <v>1146</v>
      </c>
      <c r="AJ54" s="106" t="s">
        <v>710</v>
      </c>
      <c r="AK54" s="105" t="s">
        <v>1305</v>
      </c>
      <c r="AL54" s="105" t="s">
        <v>1306</v>
      </c>
      <c r="AM54" s="116">
        <f>IFERROR((1/3),"No aplica")</f>
        <v>0.33333333333333331</v>
      </c>
      <c r="AN54" s="116">
        <f>IFERROR(((2+4+1)/7),"No aplica")</f>
        <v>1</v>
      </c>
      <c r="AO54" s="99" t="s">
        <v>458</v>
      </c>
      <c r="AP54" s="104" t="s">
        <v>1428</v>
      </c>
      <c r="AQ54" s="104" t="s">
        <v>1490</v>
      </c>
      <c r="AR54" s="203" t="s">
        <v>1307</v>
      </c>
    </row>
    <row r="55" spans="1:44" ht="69" customHeight="1" x14ac:dyDescent="0.25">
      <c r="A55" s="147"/>
      <c r="B55" s="148"/>
      <c r="C55" s="99"/>
      <c r="D55" s="99"/>
      <c r="E55" s="99"/>
      <c r="F55" s="99"/>
      <c r="G55" s="12" t="s">
        <v>37</v>
      </c>
      <c r="H55" s="14">
        <v>43473</v>
      </c>
      <c r="I55" s="14">
        <v>43769</v>
      </c>
      <c r="J55" s="33" t="s">
        <v>589</v>
      </c>
      <c r="K55" s="153"/>
      <c r="L55" s="108"/>
      <c r="M55" s="105"/>
      <c r="N55" s="105"/>
      <c r="O55" s="98"/>
      <c r="P55" s="150"/>
      <c r="Q55" s="99"/>
      <c r="R55" s="104"/>
      <c r="S55" s="104"/>
      <c r="T55" s="106"/>
      <c r="U55" s="105"/>
      <c r="V55" s="105"/>
      <c r="W55" s="116"/>
      <c r="X55" s="116"/>
      <c r="Y55" s="99"/>
      <c r="Z55" s="104"/>
      <c r="AA55" s="104"/>
      <c r="AB55" s="106"/>
      <c r="AC55" s="105"/>
      <c r="AD55" s="105"/>
      <c r="AE55" s="116"/>
      <c r="AF55" s="116"/>
      <c r="AG55" s="99"/>
      <c r="AH55" s="104"/>
      <c r="AI55" s="104"/>
      <c r="AJ55" s="106"/>
      <c r="AK55" s="105"/>
      <c r="AL55" s="105"/>
      <c r="AM55" s="116"/>
      <c r="AN55" s="116"/>
      <c r="AO55" s="99"/>
      <c r="AP55" s="104"/>
      <c r="AQ55" s="104"/>
      <c r="AR55" s="204"/>
    </row>
    <row r="56" spans="1:44" ht="69" customHeight="1" x14ac:dyDescent="0.25">
      <c r="A56" s="147"/>
      <c r="B56" s="148"/>
      <c r="C56" s="99"/>
      <c r="D56" s="99"/>
      <c r="E56" s="99"/>
      <c r="F56" s="99"/>
      <c r="G56" s="12" t="s">
        <v>56</v>
      </c>
      <c r="H56" s="14">
        <v>43473</v>
      </c>
      <c r="I56" s="14">
        <v>43769</v>
      </c>
      <c r="J56" s="33" t="s">
        <v>589</v>
      </c>
      <c r="K56" s="153"/>
      <c r="L56" s="108"/>
      <c r="M56" s="105"/>
      <c r="N56" s="105"/>
      <c r="O56" s="98"/>
      <c r="P56" s="150"/>
      <c r="Q56" s="99"/>
      <c r="R56" s="104"/>
      <c r="S56" s="104"/>
      <c r="T56" s="106"/>
      <c r="U56" s="105"/>
      <c r="V56" s="105"/>
      <c r="W56" s="116"/>
      <c r="X56" s="116"/>
      <c r="Y56" s="99"/>
      <c r="Z56" s="104"/>
      <c r="AA56" s="104"/>
      <c r="AB56" s="106"/>
      <c r="AC56" s="105"/>
      <c r="AD56" s="105"/>
      <c r="AE56" s="116"/>
      <c r="AF56" s="116"/>
      <c r="AG56" s="99"/>
      <c r="AH56" s="104"/>
      <c r="AI56" s="104"/>
      <c r="AJ56" s="106"/>
      <c r="AK56" s="105"/>
      <c r="AL56" s="105"/>
      <c r="AM56" s="116"/>
      <c r="AN56" s="116"/>
      <c r="AO56" s="99"/>
      <c r="AP56" s="104"/>
      <c r="AQ56" s="104"/>
      <c r="AR56" s="205"/>
    </row>
    <row r="57" spans="1:44" ht="51" customHeight="1" x14ac:dyDescent="0.25">
      <c r="A57" s="161" t="s">
        <v>97</v>
      </c>
      <c r="B57" s="162" t="s">
        <v>77</v>
      </c>
      <c r="C57" s="163">
        <v>11</v>
      </c>
      <c r="D57" s="163" t="s">
        <v>1087</v>
      </c>
      <c r="E57" s="163">
        <v>0</v>
      </c>
      <c r="F57" s="163" t="s">
        <v>78</v>
      </c>
      <c r="G57" s="54" t="s">
        <v>41</v>
      </c>
      <c r="H57" s="55">
        <v>43473</v>
      </c>
      <c r="I57" s="55">
        <v>43554</v>
      </c>
      <c r="J57" s="56" t="s">
        <v>589</v>
      </c>
      <c r="K57" s="164" t="s">
        <v>311</v>
      </c>
      <c r="L57" s="108" t="s">
        <v>1088</v>
      </c>
      <c r="M57" s="105" t="s">
        <v>1085</v>
      </c>
      <c r="N57" s="105" t="s">
        <v>1086</v>
      </c>
      <c r="O57" s="98" t="str">
        <f>IFERROR((0/0),"No aplica")</f>
        <v>No aplica</v>
      </c>
      <c r="P57" s="150">
        <f>IFERROR((0/1),"No aplica")</f>
        <v>0</v>
      </c>
      <c r="Q57" s="99" t="s">
        <v>457</v>
      </c>
      <c r="R57" s="104" t="s">
        <v>539</v>
      </c>
      <c r="S57" s="104" t="s">
        <v>561</v>
      </c>
      <c r="T57" s="106" t="s">
        <v>1088</v>
      </c>
      <c r="U57" s="105" t="s">
        <v>1085</v>
      </c>
      <c r="V57" s="105" t="s">
        <v>1086</v>
      </c>
      <c r="W57" s="98" t="str">
        <f>IFERROR((0/0),"No aplica")</f>
        <v>No aplica</v>
      </c>
      <c r="X57" s="98">
        <f>IFERROR((0/1),"No aplica")</f>
        <v>0</v>
      </c>
      <c r="Y57" s="99" t="s">
        <v>457</v>
      </c>
      <c r="Z57" s="104" t="s">
        <v>714</v>
      </c>
      <c r="AA57" s="104" t="s">
        <v>875</v>
      </c>
      <c r="AB57" s="106" t="s">
        <v>1088</v>
      </c>
      <c r="AC57" s="105" t="s">
        <v>1085</v>
      </c>
      <c r="AD57" s="105" t="s">
        <v>1086</v>
      </c>
      <c r="AE57" s="98" t="str">
        <f>IFERROR((0/0),"No aplica")</f>
        <v>No aplica</v>
      </c>
      <c r="AF57" s="98">
        <f>IFERROR((0/1),"No aplica")</f>
        <v>0</v>
      </c>
      <c r="AG57" s="99" t="s">
        <v>457</v>
      </c>
      <c r="AH57" s="104" t="s">
        <v>1147</v>
      </c>
      <c r="AI57" s="104" t="s">
        <v>1089</v>
      </c>
      <c r="AJ57" s="106" t="s">
        <v>1088</v>
      </c>
      <c r="AK57" s="105" t="s">
        <v>1308</v>
      </c>
      <c r="AL57" s="105" t="s">
        <v>1309</v>
      </c>
      <c r="AM57" s="98">
        <f>IFERROR((1/1),"No aplica")</f>
        <v>1</v>
      </c>
      <c r="AN57" s="98">
        <f>IFERROR((1/1),"No aplica")</f>
        <v>1</v>
      </c>
      <c r="AO57" s="99" t="s">
        <v>458</v>
      </c>
      <c r="AP57" s="104" t="s">
        <v>1429</v>
      </c>
      <c r="AQ57" s="104" t="s">
        <v>1489</v>
      </c>
      <c r="AR57" s="203" t="s">
        <v>1436</v>
      </c>
    </row>
    <row r="58" spans="1:44" ht="51" customHeight="1" x14ac:dyDescent="0.25">
      <c r="A58" s="161"/>
      <c r="B58" s="162"/>
      <c r="C58" s="163"/>
      <c r="D58" s="163"/>
      <c r="E58" s="163"/>
      <c r="F58" s="163"/>
      <c r="G58" s="54" t="s">
        <v>79</v>
      </c>
      <c r="H58" s="55">
        <v>43577</v>
      </c>
      <c r="I58" s="55">
        <v>43830</v>
      </c>
      <c r="J58" s="56" t="s">
        <v>589</v>
      </c>
      <c r="K58" s="164"/>
      <c r="L58" s="108"/>
      <c r="M58" s="105"/>
      <c r="N58" s="105"/>
      <c r="O58" s="98"/>
      <c r="P58" s="150"/>
      <c r="Q58" s="99"/>
      <c r="R58" s="104"/>
      <c r="S58" s="104"/>
      <c r="T58" s="106"/>
      <c r="U58" s="105"/>
      <c r="V58" s="105"/>
      <c r="W58" s="98"/>
      <c r="X58" s="98"/>
      <c r="Y58" s="99"/>
      <c r="Z58" s="104"/>
      <c r="AA58" s="104"/>
      <c r="AB58" s="106"/>
      <c r="AC58" s="105"/>
      <c r="AD58" s="105"/>
      <c r="AE58" s="98"/>
      <c r="AF58" s="98"/>
      <c r="AG58" s="99"/>
      <c r="AH58" s="104"/>
      <c r="AI58" s="104"/>
      <c r="AJ58" s="106"/>
      <c r="AK58" s="105"/>
      <c r="AL58" s="105"/>
      <c r="AM58" s="98"/>
      <c r="AN58" s="98"/>
      <c r="AO58" s="99"/>
      <c r="AP58" s="104"/>
      <c r="AQ58" s="104"/>
      <c r="AR58" s="204"/>
    </row>
    <row r="59" spans="1:44" ht="51" customHeight="1" x14ac:dyDescent="0.25">
      <c r="A59" s="161"/>
      <c r="B59" s="162"/>
      <c r="C59" s="163"/>
      <c r="D59" s="163"/>
      <c r="E59" s="163"/>
      <c r="F59" s="163"/>
      <c r="G59" s="54" t="s">
        <v>275</v>
      </c>
      <c r="H59" s="55">
        <v>43577</v>
      </c>
      <c r="I59" s="55">
        <v>43799</v>
      </c>
      <c r="J59" s="56" t="s">
        <v>589</v>
      </c>
      <c r="K59" s="164"/>
      <c r="L59" s="108"/>
      <c r="M59" s="105"/>
      <c r="N59" s="105"/>
      <c r="O59" s="98"/>
      <c r="P59" s="150"/>
      <c r="Q59" s="99"/>
      <c r="R59" s="104"/>
      <c r="S59" s="104"/>
      <c r="T59" s="106"/>
      <c r="U59" s="105"/>
      <c r="V59" s="105"/>
      <c r="W59" s="98"/>
      <c r="X59" s="98"/>
      <c r="Y59" s="99"/>
      <c r="Z59" s="104"/>
      <c r="AA59" s="104"/>
      <c r="AB59" s="106"/>
      <c r="AC59" s="105"/>
      <c r="AD59" s="105"/>
      <c r="AE59" s="98"/>
      <c r="AF59" s="98"/>
      <c r="AG59" s="99"/>
      <c r="AH59" s="104"/>
      <c r="AI59" s="104"/>
      <c r="AJ59" s="106"/>
      <c r="AK59" s="105"/>
      <c r="AL59" s="105"/>
      <c r="AM59" s="98"/>
      <c r="AN59" s="98"/>
      <c r="AO59" s="99"/>
      <c r="AP59" s="104"/>
      <c r="AQ59" s="104"/>
      <c r="AR59" s="205"/>
    </row>
    <row r="60" spans="1:44" ht="58.5" customHeight="1" x14ac:dyDescent="0.25">
      <c r="A60" s="147" t="s">
        <v>97</v>
      </c>
      <c r="B60" s="148" t="s">
        <v>42</v>
      </c>
      <c r="C60" s="99">
        <v>12</v>
      </c>
      <c r="D60" s="99" t="s">
        <v>1005</v>
      </c>
      <c r="E60" s="99">
        <v>0</v>
      </c>
      <c r="F60" s="99" t="s">
        <v>394</v>
      </c>
      <c r="G60" s="12" t="s">
        <v>44</v>
      </c>
      <c r="H60" s="14">
        <v>43480</v>
      </c>
      <c r="I60" s="14">
        <v>43768</v>
      </c>
      <c r="J60" s="33" t="s">
        <v>589</v>
      </c>
      <c r="K60" s="153" t="s">
        <v>311</v>
      </c>
      <c r="L60" s="108" t="s">
        <v>43</v>
      </c>
      <c r="M60" s="105" t="s">
        <v>475</v>
      </c>
      <c r="N60" s="105" t="s">
        <v>475</v>
      </c>
      <c r="O60" s="98" t="str">
        <f>IFERROR((0/0),"No aplica")</f>
        <v>No aplica</v>
      </c>
      <c r="P60" s="150">
        <f>IFERROR((0/2),"No aplica")</f>
        <v>0</v>
      </c>
      <c r="Q60" s="99" t="s">
        <v>457</v>
      </c>
      <c r="R60" s="104" t="s">
        <v>562</v>
      </c>
      <c r="S60" s="104" t="s">
        <v>592</v>
      </c>
      <c r="T60" s="106" t="s">
        <v>43</v>
      </c>
      <c r="U60" s="105" t="s">
        <v>475</v>
      </c>
      <c r="V60" s="105" t="s">
        <v>43</v>
      </c>
      <c r="W60" s="98" t="str">
        <f>IFERROR((2/0),"No aplica")</f>
        <v>No aplica</v>
      </c>
      <c r="X60" s="98">
        <f>IFERROR((2/2),"No aplica")</f>
        <v>1</v>
      </c>
      <c r="Y60" s="99" t="s">
        <v>458</v>
      </c>
      <c r="Z60" s="104" t="s">
        <v>796</v>
      </c>
      <c r="AA60" s="104" t="s">
        <v>824</v>
      </c>
      <c r="AB60" s="106" t="s">
        <v>43</v>
      </c>
      <c r="AC60" s="105" t="s">
        <v>1090</v>
      </c>
      <c r="AD60" s="105" t="s">
        <v>475</v>
      </c>
      <c r="AE60" s="98">
        <f>IFERROR((0/1),"No aplica")</f>
        <v>0</v>
      </c>
      <c r="AF60" s="98">
        <f>IFERROR((2/2),"No aplica")</f>
        <v>1</v>
      </c>
      <c r="AG60" s="99" t="s">
        <v>458</v>
      </c>
      <c r="AH60" s="104" t="s">
        <v>1091</v>
      </c>
      <c r="AI60" s="104" t="s">
        <v>309</v>
      </c>
      <c r="AJ60" s="106" t="s">
        <v>43</v>
      </c>
      <c r="AK60" s="105" t="s">
        <v>1090</v>
      </c>
      <c r="AL60" s="105" t="s">
        <v>475</v>
      </c>
      <c r="AM60" s="98">
        <f>IFERROR((0/1),"No aplica")</f>
        <v>0</v>
      </c>
      <c r="AN60" s="98">
        <f>IFERROR((2/2),"No aplica")</f>
        <v>1</v>
      </c>
      <c r="AO60" s="99" t="s">
        <v>458</v>
      </c>
      <c r="AP60" s="104" t="s">
        <v>1491</v>
      </c>
      <c r="AQ60" s="104" t="s">
        <v>1310</v>
      </c>
      <c r="AR60" s="203" t="s">
        <v>1311</v>
      </c>
    </row>
    <row r="61" spans="1:44" ht="58.5" customHeight="1" x14ac:dyDescent="0.25">
      <c r="A61" s="147"/>
      <c r="B61" s="148"/>
      <c r="C61" s="99"/>
      <c r="D61" s="99"/>
      <c r="E61" s="99"/>
      <c r="F61" s="99"/>
      <c r="G61" s="12" t="s">
        <v>45</v>
      </c>
      <c r="H61" s="14">
        <v>43525</v>
      </c>
      <c r="I61" s="14">
        <v>43588</v>
      </c>
      <c r="J61" s="33" t="s">
        <v>589</v>
      </c>
      <c r="K61" s="153"/>
      <c r="L61" s="108"/>
      <c r="M61" s="105"/>
      <c r="N61" s="105"/>
      <c r="O61" s="98"/>
      <c r="P61" s="150"/>
      <c r="Q61" s="99"/>
      <c r="R61" s="104"/>
      <c r="S61" s="104"/>
      <c r="T61" s="106"/>
      <c r="U61" s="105"/>
      <c r="V61" s="105"/>
      <c r="W61" s="98"/>
      <c r="X61" s="98"/>
      <c r="Y61" s="99"/>
      <c r="Z61" s="104"/>
      <c r="AA61" s="104"/>
      <c r="AB61" s="106"/>
      <c r="AC61" s="105"/>
      <c r="AD61" s="105"/>
      <c r="AE61" s="98"/>
      <c r="AF61" s="98"/>
      <c r="AG61" s="99"/>
      <c r="AH61" s="104"/>
      <c r="AI61" s="104"/>
      <c r="AJ61" s="106"/>
      <c r="AK61" s="105"/>
      <c r="AL61" s="105"/>
      <c r="AM61" s="98"/>
      <c r="AN61" s="98"/>
      <c r="AO61" s="99"/>
      <c r="AP61" s="104"/>
      <c r="AQ61" s="104"/>
      <c r="AR61" s="204"/>
    </row>
    <row r="62" spans="1:44" ht="58.5" customHeight="1" x14ac:dyDescent="0.25">
      <c r="A62" s="147"/>
      <c r="B62" s="148"/>
      <c r="C62" s="99"/>
      <c r="D62" s="99"/>
      <c r="E62" s="99"/>
      <c r="F62" s="99"/>
      <c r="G62" s="12" t="s">
        <v>46</v>
      </c>
      <c r="H62" s="14">
        <v>43591</v>
      </c>
      <c r="I62" s="14">
        <v>43617</v>
      </c>
      <c r="J62" s="33" t="s">
        <v>589</v>
      </c>
      <c r="K62" s="153"/>
      <c r="L62" s="108"/>
      <c r="M62" s="105"/>
      <c r="N62" s="105"/>
      <c r="O62" s="98"/>
      <c r="P62" s="150"/>
      <c r="Q62" s="99"/>
      <c r="R62" s="104"/>
      <c r="S62" s="104"/>
      <c r="T62" s="106"/>
      <c r="U62" s="105"/>
      <c r="V62" s="105"/>
      <c r="W62" s="98"/>
      <c r="X62" s="98"/>
      <c r="Y62" s="99"/>
      <c r="Z62" s="104"/>
      <c r="AA62" s="104"/>
      <c r="AB62" s="106"/>
      <c r="AC62" s="105"/>
      <c r="AD62" s="105"/>
      <c r="AE62" s="98"/>
      <c r="AF62" s="98"/>
      <c r="AG62" s="99"/>
      <c r="AH62" s="104"/>
      <c r="AI62" s="104"/>
      <c r="AJ62" s="106"/>
      <c r="AK62" s="105"/>
      <c r="AL62" s="105"/>
      <c r="AM62" s="98"/>
      <c r="AN62" s="98"/>
      <c r="AO62" s="99"/>
      <c r="AP62" s="104"/>
      <c r="AQ62" s="104"/>
      <c r="AR62" s="204"/>
    </row>
    <row r="63" spans="1:44" ht="58.5" customHeight="1" x14ac:dyDescent="0.25">
      <c r="A63" s="147"/>
      <c r="B63" s="148"/>
      <c r="C63" s="99"/>
      <c r="D63" s="99"/>
      <c r="E63" s="99"/>
      <c r="F63" s="99"/>
      <c r="G63" s="12" t="s">
        <v>47</v>
      </c>
      <c r="H63" s="14">
        <v>43591</v>
      </c>
      <c r="I63" s="14">
        <v>43707</v>
      </c>
      <c r="J63" s="33" t="s">
        <v>589</v>
      </c>
      <c r="K63" s="153"/>
      <c r="L63" s="108"/>
      <c r="M63" s="105"/>
      <c r="N63" s="105"/>
      <c r="O63" s="98"/>
      <c r="P63" s="150"/>
      <c r="Q63" s="99"/>
      <c r="R63" s="104"/>
      <c r="S63" s="104"/>
      <c r="T63" s="106"/>
      <c r="U63" s="105"/>
      <c r="V63" s="105"/>
      <c r="W63" s="98"/>
      <c r="X63" s="98"/>
      <c r="Y63" s="99"/>
      <c r="Z63" s="104"/>
      <c r="AA63" s="104"/>
      <c r="AB63" s="106"/>
      <c r="AC63" s="105"/>
      <c r="AD63" s="105"/>
      <c r="AE63" s="98"/>
      <c r="AF63" s="98"/>
      <c r="AG63" s="99"/>
      <c r="AH63" s="104"/>
      <c r="AI63" s="104"/>
      <c r="AJ63" s="106"/>
      <c r="AK63" s="105"/>
      <c r="AL63" s="105"/>
      <c r="AM63" s="98"/>
      <c r="AN63" s="98"/>
      <c r="AO63" s="99"/>
      <c r="AP63" s="104"/>
      <c r="AQ63" s="104"/>
      <c r="AR63" s="205"/>
    </row>
    <row r="64" spans="1:44" x14ac:dyDescent="0.25">
      <c r="A64" s="92" t="s">
        <v>380</v>
      </c>
      <c r="B64" s="22" t="s">
        <v>380</v>
      </c>
      <c r="C64" s="7"/>
      <c r="D64" s="7" t="s">
        <v>380</v>
      </c>
      <c r="E64" s="7" t="s">
        <v>380</v>
      </c>
      <c r="F64" s="7" t="s">
        <v>380</v>
      </c>
      <c r="G64" s="45" t="s">
        <v>380</v>
      </c>
      <c r="H64" s="7" t="s">
        <v>380</v>
      </c>
      <c r="I64" s="7" t="s">
        <v>380</v>
      </c>
      <c r="J64" s="21" t="s">
        <v>380</v>
      </c>
      <c r="K64" s="29" t="s">
        <v>380</v>
      </c>
      <c r="L64" s="29" t="s">
        <v>380</v>
      </c>
      <c r="M64" s="7" t="s">
        <v>380</v>
      </c>
      <c r="N64" s="7" t="s">
        <v>380</v>
      </c>
      <c r="O64" s="7" t="s">
        <v>380</v>
      </c>
      <c r="P64" s="7" t="s">
        <v>380</v>
      </c>
      <c r="Q64" s="7" t="s">
        <v>380</v>
      </c>
      <c r="R64" s="7" t="s">
        <v>380</v>
      </c>
      <c r="S64" s="7" t="s">
        <v>380</v>
      </c>
      <c r="T64" s="22" t="s">
        <v>380</v>
      </c>
      <c r="U64" s="7" t="s">
        <v>380</v>
      </c>
      <c r="V64" s="7" t="s">
        <v>380</v>
      </c>
      <c r="W64" s="7" t="s">
        <v>380</v>
      </c>
      <c r="X64" s="7" t="s">
        <v>380</v>
      </c>
      <c r="Y64" s="22" t="s">
        <v>380</v>
      </c>
      <c r="Z64" s="81" t="s">
        <v>380</v>
      </c>
      <c r="AA64" s="81" t="s">
        <v>380</v>
      </c>
      <c r="AB64" s="22" t="s">
        <v>380</v>
      </c>
      <c r="AC64" s="7" t="s">
        <v>380</v>
      </c>
      <c r="AD64" s="7" t="s">
        <v>380</v>
      </c>
      <c r="AE64" s="7" t="s">
        <v>380</v>
      </c>
      <c r="AF64" s="71" t="s">
        <v>380</v>
      </c>
      <c r="AG64" s="7" t="s">
        <v>380</v>
      </c>
      <c r="AH64" s="81" t="s">
        <v>380</v>
      </c>
      <c r="AI64" s="81" t="s">
        <v>380</v>
      </c>
      <c r="AJ64" s="22" t="s">
        <v>380</v>
      </c>
      <c r="AK64" s="7" t="s">
        <v>380</v>
      </c>
      <c r="AL64" s="7" t="s">
        <v>380</v>
      </c>
      <c r="AM64" s="7" t="s">
        <v>380</v>
      </c>
      <c r="AN64" s="7" t="s">
        <v>380</v>
      </c>
      <c r="AO64" s="7" t="s">
        <v>380</v>
      </c>
      <c r="AP64" s="81" t="s">
        <v>380</v>
      </c>
      <c r="AQ64" s="81" t="s">
        <v>380</v>
      </c>
      <c r="AR64" s="82" t="s">
        <v>380</v>
      </c>
    </row>
    <row r="65" spans="1:44" ht="31.5" x14ac:dyDescent="0.25">
      <c r="A65" s="161" t="s">
        <v>99</v>
      </c>
      <c r="B65" s="162" t="s">
        <v>346</v>
      </c>
      <c r="C65" s="168">
        <v>13</v>
      </c>
      <c r="D65" s="168" t="s">
        <v>1006</v>
      </c>
      <c r="E65" s="168">
        <v>0</v>
      </c>
      <c r="F65" s="168" t="s">
        <v>143</v>
      </c>
      <c r="G65" s="51" t="s">
        <v>237</v>
      </c>
      <c r="H65" s="55">
        <v>43467</v>
      </c>
      <c r="I65" s="55">
        <v>43830</v>
      </c>
      <c r="J65" s="95" t="s">
        <v>13</v>
      </c>
      <c r="K65" s="164" t="s">
        <v>312</v>
      </c>
      <c r="L65" s="108" t="s">
        <v>373</v>
      </c>
      <c r="M65" s="105" t="s">
        <v>460</v>
      </c>
      <c r="N65" s="105" t="s">
        <v>460</v>
      </c>
      <c r="O65" s="98">
        <f>IFERROR((11.76%/11.76%),"No aplica")</f>
        <v>1</v>
      </c>
      <c r="P65" s="98">
        <f>IFERROR((10/85),"No aplica")</f>
        <v>0.11764705882352941</v>
      </c>
      <c r="Q65" s="105" t="s">
        <v>458</v>
      </c>
      <c r="R65" s="102" t="s">
        <v>877</v>
      </c>
      <c r="S65" s="102" t="s">
        <v>563</v>
      </c>
      <c r="T65" s="106" t="s">
        <v>373</v>
      </c>
      <c r="U65" s="105" t="s">
        <v>891</v>
      </c>
      <c r="V65" s="105" t="s">
        <v>892</v>
      </c>
      <c r="W65" s="98">
        <f>IFERROR((44.71%/42.35%),"No aplica")</f>
        <v>1.0557260920897285</v>
      </c>
      <c r="X65" s="98">
        <f>IFERROR(((10+28)/85),"No aplica")</f>
        <v>0.44705882352941179</v>
      </c>
      <c r="Y65" s="105" t="s">
        <v>458</v>
      </c>
      <c r="Z65" s="102" t="s">
        <v>890</v>
      </c>
      <c r="AA65" s="102" t="s">
        <v>976</v>
      </c>
      <c r="AB65" s="106" t="s">
        <v>373</v>
      </c>
      <c r="AC65" s="105" t="s">
        <v>1207</v>
      </c>
      <c r="AD65" s="105" t="s">
        <v>1208</v>
      </c>
      <c r="AE65" s="98">
        <f>IFERROR((29/22),"No aplica")</f>
        <v>1.3181818181818181</v>
      </c>
      <c r="AF65" s="98">
        <f>IFERROR(((10+28+29)/85),"No aplica")</f>
        <v>0.78823529411764703</v>
      </c>
      <c r="AG65" s="105" t="s">
        <v>458</v>
      </c>
      <c r="AH65" s="102" t="s">
        <v>1209</v>
      </c>
      <c r="AI65" s="102" t="s">
        <v>1210</v>
      </c>
      <c r="AJ65" s="106" t="s">
        <v>373</v>
      </c>
      <c r="AK65" s="105" t="s">
        <v>1312</v>
      </c>
      <c r="AL65" s="105" t="s">
        <v>1313</v>
      </c>
      <c r="AM65" s="98">
        <f>IFERROR((49/27),"No aplica")</f>
        <v>1.8148148148148149</v>
      </c>
      <c r="AN65" s="98">
        <f>IFERROR(((10+28+29+49)/85),"No aplica")</f>
        <v>1.3647058823529412</v>
      </c>
      <c r="AO65" s="105" t="s">
        <v>468</v>
      </c>
      <c r="AP65" s="102" t="s">
        <v>1493</v>
      </c>
      <c r="AQ65" s="102" t="s">
        <v>1492</v>
      </c>
      <c r="AR65" s="206" t="s">
        <v>1437</v>
      </c>
    </row>
    <row r="66" spans="1:44" ht="31.5" x14ac:dyDescent="0.25">
      <c r="A66" s="161"/>
      <c r="B66" s="162"/>
      <c r="C66" s="168"/>
      <c r="D66" s="168"/>
      <c r="E66" s="168"/>
      <c r="F66" s="168"/>
      <c r="G66" s="51" t="s">
        <v>342</v>
      </c>
      <c r="H66" s="55">
        <v>43498</v>
      </c>
      <c r="I66" s="55">
        <v>43831</v>
      </c>
      <c r="J66" s="95" t="s">
        <v>13</v>
      </c>
      <c r="K66" s="164"/>
      <c r="L66" s="108"/>
      <c r="M66" s="105"/>
      <c r="N66" s="105"/>
      <c r="O66" s="98"/>
      <c r="P66" s="98"/>
      <c r="Q66" s="105"/>
      <c r="R66" s="102"/>
      <c r="S66" s="102"/>
      <c r="T66" s="106"/>
      <c r="U66" s="105"/>
      <c r="V66" s="105"/>
      <c r="W66" s="98"/>
      <c r="X66" s="98"/>
      <c r="Y66" s="105"/>
      <c r="Z66" s="102"/>
      <c r="AA66" s="102"/>
      <c r="AB66" s="106"/>
      <c r="AC66" s="105"/>
      <c r="AD66" s="105"/>
      <c r="AE66" s="98"/>
      <c r="AF66" s="98"/>
      <c r="AG66" s="105"/>
      <c r="AH66" s="102"/>
      <c r="AI66" s="102"/>
      <c r="AJ66" s="106"/>
      <c r="AK66" s="105"/>
      <c r="AL66" s="105"/>
      <c r="AM66" s="98"/>
      <c r="AN66" s="98"/>
      <c r="AO66" s="105"/>
      <c r="AP66" s="102"/>
      <c r="AQ66" s="102"/>
      <c r="AR66" s="207"/>
    </row>
    <row r="67" spans="1:44" ht="31.5" x14ac:dyDescent="0.25">
      <c r="A67" s="161"/>
      <c r="B67" s="162"/>
      <c r="C67" s="168"/>
      <c r="D67" s="168"/>
      <c r="E67" s="168"/>
      <c r="F67" s="168"/>
      <c r="G67" s="54" t="s">
        <v>369</v>
      </c>
      <c r="H67" s="55">
        <v>43586</v>
      </c>
      <c r="I67" s="55">
        <v>43830</v>
      </c>
      <c r="J67" s="95" t="s">
        <v>13</v>
      </c>
      <c r="K67" s="164"/>
      <c r="L67" s="108"/>
      <c r="M67" s="105"/>
      <c r="N67" s="105"/>
      <c r="O67" s="98"/>
      <c r="P67" s="98"/>
      <c r="Q67" s="105"/>
      <c r="R67" s="102"/>
      <c r="S67" s="102"/>
      <c r="T67" s="106"/>
      <c r="U67" s="105"/>
      <c r="V67" s="105"/>
      <c r="W67" s="98"/>
      <c r="X67" s="98"/>
      <c r="Y67" s="105"/>
      <c r="Z67" s="102"/>
      <c r="AA67" s="102"/>
      <c r="AB67" s="106"/>
      <c r="AC67" s="105"/>
      <c r="AD67" s="105"/>
      <c r="AE67" s="98"/>
      <c r="AF67" s="98"/>
      <c r="AG67" s="105"/>
      <c r="AH67" s="102"/>
      <c r="AI67" s="102"/>
      <c r="AJ67" s="106"/>
      <c r="AK67" s="105"/>
      <c r="AL67" s="105"/>
      <c r="AM67" s="98"/>
      <c r="AN67" s="98"/>
      <c r="AO67" s="105"/>
      <c r="AP67" s="102"/>
      <c r="AQ67" s="102"/>
      <c r="AR67" s="207"/>
    </row>
    <row r="68" spans="1:44" ht="63" x14ac:dyDescent="0.25">
      <c r="A68" s="161"/>
      <c r="B68" s="162"/>
      <c r="C68" s="168"/>
      <c r="D68" s="168"/>
      <c r="E68" s="168"/>
      <c r="F68" s="168"/>
      <c r="G68" s="54" t="s">
        <v>441</v>
      </c>
      <c r="H68" s="55">
        <v>43467</v>
      </c>
      <c r="I68" s="55">
        <v>43830</v>
      </c>
      <c r="J68" s="95" t="s">
        <v>13</v>
      </c>
      <c r="K68" s="164"/>
      <c r="L68" s="108"/>
      <c r="M68" s="105"/>
      <c r="N68" s="105"/>
      <c r="O68" s="98"/>
      <c r="P68" s="98"/>
      <c r="Q68" s="105"/>
      <c r="R68" s="102"/>
      <c r="S68" s="102"/>
      <c r="T68" s="106"/>
      <c r="U68" s="105"/>
      <c r="V68" s="105"/>
      <c r="W68" s="98"/>
      <c r="X68" s="98"/>
      <c r="Y68" s="105"/>
      <c r="Z68" s="102"/>
      <c r="AA68" s="102"/>
      <c r="AB68" s="106"/>
      <c r="AC68" s="105"/>
      <c r="AD68" s="105"/>
      <c r="AE68" s="98"/>
      <c r="AF68" s="98"/>
      <c r="AG68" s="105"/>
      <c r="AH68" s="102"/>
      <c r="AI68" s="102"/>
      <c r="AJ68" s="106"/>
      <c r="AK68" s="105"/>
      <c r="AL68" s="105"/>
      <c r="AM68" s="98"/>
      <c r="AN68" s="98"/>
      <c r="AO68" s="105"/>
      <c r="AP68" s="102"/>
      <c r="AQ68" s="102"/>
      <c r="AR68" s="207"/>
    </row>
    <row r="69" spans="1:44" ht="31.5" x14ac:dyDescent="0.25">
      <c r="A69" s="161"/>
      <c r="B69" s="162"/>
      <c r="C69" s="168"/>
      <c r="D69" s="168"/>
      <c r="E69" s="168"/>
      <c r="F69" s="168"/>
      <c r="G69" s="51" t="s">
        <v>144</v>
      </c>
      <c r="H69" s="55">
        <v>43467</v>
      </c>
      <c r="I69" s="55">
        <v>43830</v>
      </c>
      <c r="J69" s="95" t="s">
        <v>13</v>
      </c>
      <c r="K69" s="164"/>
      <c r="L69" s="108"/>
      <c r="M69" s="105"/>
      <c r="N69" s="105"/>
      <c r="O69" s="98"/>
      <c r="P69" s="98"/>
      <c r="Q69" s="105"/>
      <c r="R69" s="102"/>
      <c r="S69" s="102"/>
      <c r="T69" s="106"/>
      <c r="U69" s="105"/>
      <c r="V69" s="105"/>
      <c r="W69" s="98"/>
      <c r="X69" s="98"/>
      <c r="Y69" s="105"/>
      <c r="Z69" s="102"/>
      <c r="AA69" s="102"/>
      <c r="AB69" s="106"/>
      <c r="AC69" s="105"/>
      <c r="AD69" s="105"/>
      <c r="AE69" s="98"/>
      <c r="AF69" s="98"/>
      <c r="AG69" s="105"/>
      <c r="AH69" s="102"/>
      <c r="AI69" s="102"/>
      <c r="AJ69" s="106"/>
      <c r="AK69" s="105"/>
      <c r="AL69" s="105"/>
      <c r="AM69" s="98"/>
      <c r="AN69" s="98"/>
      <c r="AO69" s="105"/>
      <c r="AP69" s="102"/>
      <c r="AQ69" s="102"/>
      <c r="AR69" s="207"/>
    </row>
    <row r="70" spans="1:44" ht="47.25" x14ac:dyDescent="0.25">
      <c r="A70" s="161"/>
      <c r="B70" s="162"/>
      <c r="C70" s="168"/>
      <c r="D70" s="168"/>
      <c r="E70" s="168"/>
      <c r="F70" s="168"/>
      <c r="G70" s="54" t="s">
        <v>825</v>
      </c>
      <c r="H70" s="55">
        <v>43570</v>
      </c>
      <c r="I70" s="55">
        <v>43830</v>
      </c>
      <c r="J70" s="95" t="s">
        <v>13</v>
      </c>
      <c r="K70" s="164"/>
      <c r="L70" s="108"/>
      <c r="M70" s="105"/>
      <c r="N70" s="105"/>
      <c r="O70" s="98"/>
      <c r="P70" s="98"/>
      <c r="Q70" s="105"/>
      <c r="R70" s="102"/>
      <c r="S70" s="102"/>
      <c r="T70" s="106"/>
      <c r="U70" s="105"/>
      <c r="V70" s="105"/>
      <c r="W70" s="98"/>
      <c r="X70" s="98"/>
      <c r="Y70" s="105"/>
      <c r="Z70" s="102"/>
      <c r="AA70" s="102"/>
      <c r="AB70" s="106"/>
      <c r="AC70" s="105"/>
      <c r="AD70" s="105"/>
      <c r="AE70" s="98"/>
      <c r="AF70" s="98"/>
      <c r="AG70" s="105"/>
      <c r="AH70" s="102"/>
      <c r="AI70" s="102"/>
      <c r="AJ70" s="106"/>
      <c r="AK70" s="105"/>
      <c r="AL70" s="105"/>
      <c r="AM70" s="98"/>
      <c r="AN70" s="98"/>
      <c r="AO70" s="105"/>
      <c r="AP70" s="102"/>
      <c r="AQ70" s="102"/>
      <c r="AR70" s="207"/>
    </row>
    <row r="71" spans="1:44" ht="31.5" x14ac:dyDescent="0.25">
      <c r="A71" s="161"/>
      <c r="B71" s="162"/>
      <c r="C71" s="168"/>
      <c r="D71" s="168"/>
      <c r="E71" s="168"/>
      <c r="F71" s="168"/>
      <c r="G71" s="51" t="s">
        <v>440</v>
      </c>
      <c r="H71" s="55">
        <v>43539</v>
      </c>
      <c r="I71" s="55">
        <v>43830</v>
      </c>
      <c r="J71" s="95" t="s">
        <v>13</v>
      </c>
      <c r="K71" s="164"/>
      <c r="L71" s="108"/>
      <c r="M71" s="105"/>
      <c r="N71" s="105"/>
      <c r="O71" s="98"/>
      <c r="P71" s="98"/>
      <c r="Q71" s="105"/>
      <c r="R71" s="102"/>
      <c r="S71" s="102"/>
      <c r="T71" s="106"/>
      <c r="U71" s="105"/>
      <c r="V71" s="105"/>
      <c r="W71" s="98"/>
      <c r="X71" s="98"/>
      <c r="Y71" s="105"/>
      <c r="Z71" s="102"/>
      <c r="AA71" s="102"/>
      <c r="AB71" s="106"/>
      <c r="AC71" s="105"/>
      <c r="AD71" s="105"/>
      <c r="AE71" s="98"/>
      <c r="AF71" s="98"/>
      <c r="AG71" s="105"/>
      <c r="AH71" s="102"/>
      <c r="AI71" s="102"/>
      <c r="AJ71" s="106"/>
      <c r="AK71" s="105"/>
      <c r="AL71" s="105"/>
      <c r="AM71" s="98"/>
      <c r="AN71" s="98"/>
      <c r="AO71" s="105"/>
      <c r="AP71" s="102"/>
      <c r="AQ71" s="102"/>
      <c r="AR71" s="207"/>
    </row>
    <row r="72" spans="1:44" ht="47.25" x14ac:dyDescent="0.25">
      <c r="A72" s="161"/>
      <c r="B72" s="162"/>
      <c r="C72" s="168"/>
      <c r="D72" s="168"/>
      <c r="E72" s="168"/>
      <c r="F72" s="168"/>
      <c r="G72" s="51" t="s">
        <v>395</v>
      </c>
      <c r="H72" s="55">
        <v>43467</v>
      </c>
      <c r="I72" s="55">
        <v>43830</v>
      </c>
      <c r="J72" s="95" t="s">
        <v>13</v>
      </c>
      <c r="K72" s="164"/>
      <c r="L72" s="108"/>
      <c r="M72" s="105"/>
      <c r="N72" s="105"/>
      <c r="O72" s="98"/>
      <c r="P72" s="98"/>
      <c r="Q72" s="105"/>
      <c r="R72" s="102"/>
      <c r="S72" s="102"/>
      <c r="T72" s="106"/>
      <c r="U72" s="105"/>
      <c r="V72" s="105"/>
      <c r="W72" s="98"/>
      <c r="X72" s="98"/>
      <c r="Y72" s="105"/>
      <c r="Z72" s="102"/>
      <c r="AA72" s="102"/>
      <c r="AB72" s="106"/>
      <c r="AC72" s="105"/>
      <c r="AD72" s="105"/>
      <c r="AE72" s="98"/>
      <c r="AF72" s="98"/>
      <c r="AG72" s="105"/>
      <c r="AH72" s="102"/>
      <c r="AI72" s="102"/>
      <c r="AJ72" s="106"/>
      <c r="AK72" s="105"/>
      <c r="AL72" s="105"/>
      <c r="AM72" s="98"/>
      <c r="AN72" s="98"/>
      <c r="AO72" s="105"/>
      <c r="AP72" s="102"/>
      <c r="AQ72" s="102"/>
      <c r="AR72" s="207"/>
    </row>
    <row r="73" spans="1:44" ht="31.5" x14ac:dyDescent="0.25">
      <c r="A73" s="161"/>
      <c r="B73" s="162"/>
      <c r="C73" s="168"/>
      <c r="D73" s="168"/>
      <c r="E73" s="168"/>
      <c r="F73" s="168"/>
      <c r="G73" s="54" t="s">
        <v>370</v>
      </c>
      <c r="H73" s="55">
        <v>43480</v>
      </c>
      <c r="I73" s="55">
        <v>43830</v>
      </c>
      <c r="J73" s="95" t="s">
        <v>13</v>
      </c>
      <c r="K73" s="164"/>
      <c r="L73" s="108"/>
      <c r="M73" s="105"/>
      <c r="N73" s="105"/>
      <c r="O73" s="98"/>
      <c r="P73" s="98"/>
      <c r="Q73" s="105"/>
      <c r="R73" s="102"/>
      <c r="S73" s="102"/>
      <c r="T73" s="106"/>
      <c r="U73" s="105"/>
      <c r="V73" s="105"/>
      <c r="W73" s="98"/>
      <c r="X73" s="98"/>
      <c r="Y73" s="105"/>
      <c r="Z73" s="102"/>
      <c r="AA73" s="102"/>
      <c r="AB73" s="106"/>
      <c r="AC73" s="105"/>
      <c r="AD73" s="105"/>
      <c r="AE73" s="98"/>
      <c r="AF73" s="98"/>
      <c r="AG73" s="105"/>
      <c r="AH73" s="102"/>
      <c r="AI73" s="102"/>
      <c r="AJ73" s="106"/>
      <c r="AK73" s="105"/>
      <c r="AL73" s="105"/>
      <c r="AM73" s="98"/>
      <c r="AN73" s="98"/>
      <c r="AO73" s="105"/>
      <c r="AP73" s="102"/>
      <c r="AQ73" s="102"/>
      <c r="AR73" s="207"/>
    </row>
    <row r="74" spans="1:44" ht="31.5" x14ac:dyDescent="0.25">
      <c r="A74" s="161"/>
      <c r="B74" s="162"/>
      <c r="C74" s="168"/>
      <c r="D74" s="168"/>
      <c r="E74" s="168"/>
      <c r="F74" s="168"/>
      <c r="G74" s="51" t="s">
        <v>396</v>
      </c>
      <c r="H74" s="55">
        <v>43617</v>
      </c>
      <c r="I74" s="55">
        <v>43830</v>
      </c>
      <c r="J74" s="95" t="s">
        <v>13</v>
      </c>
      <c r="K74" s="164"/>
      <c r="L74" s="108"/>
      <c r="M74" s="105"/>
      <c r="N74" s="105"/>
      <c r="O74" s="98"/>
      <c r="P74" s="98"/>
      <c r="Q74" s="105"/>
      <c r="R74" s="102"/>
      <c r="S74" s="102"/>
      <c r="T74" s="106"/>
      <c r="U74" s="105"/>
      <c r="V74" s="105"/>
      <c r="W74" s="98"/>
      <c r="X74" s="98"/>
      <c r="Y74" s="105"/>
      <c r="Z74" s="102"/>
      <c r="AA74" s="102"/>
      <c r="AB74" s="106"/>
      <c r="AC74" s="105"/>
      <c r="AD74" s="105"/>
      <c r="AE74" s="98"/>
      <c r="AF74" s="98"/>
      <c r="AG74" s="105"/>
      <c r="AH74" s="102"/>
      <c r="AI74" s="102"/>
      <c r="AJ74" s="106"/>
      <c r="AK74" s="105"/>
      <c r="AL74" s="105"/>
      <c r="AM74" s="98"/>
      <c r="AN74" s="98"/>
      <c r="AO74" s="105"/>
      <c r="AP74" s="102"/>
      <c r="AQ74" s="102"/>
      <c r="AR74" s="207"/>
    </row>
    <row r="75" spans="1:44" ht="47.25" x14ac:dyDescent="0.25">
      <c r="A75" s="161"/>
      <c r="B75" s="162"/>
      <c r="C75" s="168"/>
      <c r="D75" s="168"/>
      <c r="E75" s="168"/>
      <c r="F75" s="168"/>
      <c r="G75" s="54" t="s">
        <v>371</v>
      </c>
      <c r="H75" s="55">
        <v>43466</v>
      </c>
      <c r="I75" s="55">
        <v>43830</v>
      </c>
      <c r="J75" s="95" t="s">
        <v>13</v>
      </c>
      <c r="K75" s="164"/>
      <c r="L75" s="108"/>
      <c r="M75" s="105"/>
      <c r="N75" s="105"/>
      <c r="O75" s="98"/>
      <c r="P75" s="98"/>
      <c r="Q75" s="105"/>
      <c r="R75" s="102"/>
      <c r="S75" s="102"/>
      <c r="T75" s="106"/>
      <c r="U75" s="105"/>
      <c r="V75" s="105"/>
      <c r="W75" s="98"/>
      <c r="X75" s="98"/>
      <c r="Y75" s="105"/>
      <c r="Z75" s="102"/>
      <c r="AA75" s="102"/>
      <c r="AB75" s="106"/>
      <c r="AC75" s="105"/>
      <c r="AD75" s="105"/>
      <c r="AE75" s="98"/>
      <c r="AF75" s="98"/>
      <c r="AG75" s="105"/>
      <c r="AH75" s="102"/>
      <c r="AI75" s="102"/>
      <c r="AJ75" s="106"/>
      <c r="AK75" s="105"/>
      <c r="AL75" s="105"/>
      <c r="AM75" s="98"/>
      <c r="AN75" s="98"/>
      <c r="AO75" s="105"/>
      <c r="AP75" s="102"/>
      <c r="AQ75" s="102"/>
      <c r="AR75" s="207"/>
    </row>
    <row r="76" spans="1:44" ht="31.5" x14ac:dyDescent="0.25">
      <c r="A76" s="161"/>
      <c r="B76" s="162"/>
      <c r="C76" s="168"/>
      <c r="D76" s="168"/>
      <c r="E76" s="168"/>
      <c r="F76" s="168"/>
      <c r="G76" s="51" t="s">
        <v>397</v>
      </c>
      <c r="H76" s="55">
        <v>43467</v>
      </c>
      <c r="I76" s="55">
        <v>43830</v>
      </c>
      <c r="J76" s="95" t="s">
        <v>13</v>
      </c>
      <c r="K76" s="164"/>
      <c r="L76" s="108"/>
      <c r="M76" s="105"/>
      <c r="N76" s="105"/>
      <c r="O76" s="98"/>
      <c r="P76" s="98"/>
      <c r="Q76" s="105"/>
      <c r="R76" s="102"/>
      <c r="S76" s="102"/>
      <c r="T76" s="106"/>
      <c r="U76" s="105"/>
      <c r="V76" s="105"/>
      <c r="W76" s="98"/>
      <c r="X76" s="98"/>
      <c r="Y76" s="105"/>
      <c r="Z76" s="102"/>
      <c r="AA76" s="102"/>
      <c r="AB76" s="106"/>
      <c r="AC76" s="105"/>
      <c r="AD76" s="105"/>
      <c r="AE76" s="98"/>
      <c r="AF76" s="98"/>
      <c r="AG76" s="105"/>
      <c r="AH76" s="102"/>
      <c r="AI76" s="102"/>
      <c r="AJ76" s="106"/>
      <c r="AK76" s="105"/>
      <c r="AL76" s="105"/>
      <c r="AM76" s="98"/>
      <c r="AN76" s="98"/>
      <c r="AO76" s="105"/>
      <c r="AP76" s="102"/>
      <c r="AQ76" s="102"/>
      <c r="AR76" s="208"/>
    </row>
    <row r="77" spans="1:44" ht="31.5" x14ac:dyDescent="0.25">
      <c r="A77" s="156" t="s">
        <v>99</v>
      </c>
      <c r="B77" s="106" t="s">
        <v>346</v>
      </c>
      <c r="C77" s="101">
        <v>14</v>
      </c>
      <c r="D77" s="105" t="s">
        <v>236</v>
      </c>
      <c r="E77" s="101">
        <v>0</v>
      </c>
      <c r="F77" s="105" t="s">
        <v>239</v>
      </c>
      <c r="G77" s="43" t="s">
        <v>343</v>
      </c>
      <c r="H77" s="15">
        <v>43467</v>
      </c>
      <c r="I77" s="15">
        <v>43830</v>
      </c>
      <c r="J77" s="68" t="s">
        <v>13</v>
      </c>
      <c r="K77" s="108" t="s">
        <v>312</v>
      </c>
      <c r="L77" s="108" t="s">
        <v>238</v>
      </c>
      <c r="M77" s="105" t="s">
        <v>461</v>
      </c>
      <c r="N77" s="105" t="s">
        <v>461</v>
      </c>
      <c r="O77" s="98">
        <f>IFERROR((3/3),"No aplica")</f>
        <v>1</v>
      </c>
      <c r="P77" s="98">
        <f>IFERROR((3/4),"No aplica")</f>
        <v>0.75</v>
      </c>
      <c r="Q77" s="105" t="s">
        <v>458</v>
      </c>
      <c r="R77" s="102" t="s">
        <v>462</v>
      </c>
      <c r="S77" s="102" t="s">
        <v>540</v>
      </c>
      <c r="T77" s="106" t="s">
        <v>238</v>
      </c>
      <c r="U77" s="105" t="s">
        <v>889</v>
      </c>
      <c r="V77" s="105" t="s">
        <v>889</v>
      </c>
      <c r="W77" s="98" t="str">
        <f>IFERROR((0/0),"No aplica")</f>
        <v>No aplica</v>
      </c>
      <c r="X77" s="98">
        <f>IFERROR((3/4),"No aplica")</f>
        <v>0.75</v>
      </c>
      <c r="Y77" s="105" t="s">
        <v>458</v>
      </c>
      <c r="Z77" s="102" t="s">
        <v>888</v>
      </c>
      <c r="AA77" s="102" t="s">
        <v>887</v>
      </c>
      <c r="AB77" s="106" t="s">
        <v>238</v>
      </c>
      <c r="AC77" s="105" t="s">
        <v>1213</v>
      </c>
      <c r="AD77" s="105" t="s">
        <v>889</v>
      </c>
      <c r="AE77" s="98">
        <f>IFERROR((0/1),"No aplica")</f>
        <v>0</v>
      </c>
      <c r="AF77" s="98">
        <f>IFERROR((3/4),"No aplica")</f>
        <v>0.75</v>
      </c>
      <c r="AG77" s="105" t="s">
        <v>531</v>
      </c>
      <c r="AH77" s="102" t="s">
        <v>1212</v>
      </c>
      <c r="AI77" s="102" t="s">
        <v>1211</v>
      </c>
      <c r="AJ77" s="106" t="s">
        <v>238</v>
      </c>
      <c r="AK77" s="105" t="s">
        <v>889</v>
      </c>
      <c r="AL77" s="105" t="s">
        <v>889</v>
      </c>
      <c r="AM77" s="98" t="str">
        <f>IFERROR((0/0),"No aplica")</f>
        <v>No aplica</v>
      </c>
      <c r="AN77" s="98">
        <f>IFERROR((3/4),"No aplica")</f>
        <v>0.75</v>
      </c>
      <c r="AO77" s="105" t="s">
        <v>531</v>
      </c>
      <c r="AP77" s="102" t="s">
        <v>1314</v>
      </c>
      <c r="AQ77" s="102" t="s">
        <v>1315</v>
      </c>
      <c r="AR77" s="206" t="s">
        <v>1438</v>
      </c>
    </row>
    <row r="78" spans="1:44" ht="31.5" x14ac:dyDescent="0.25">
      <c r="A78" s="156"/>
      <c r="B78" s="106"/>
      <c r="C78" s="101"/>
      <c r="D78" s="105"/>
      <c r="E78" s="101"/>
      <c r="F78" s="105"/>
      <c r="G78" s="43" t="s">
        <v>372</v>
      </c>
      <c r="H78" s="15">
        <v>43497</v>
      </c>
      <c r="I78" s="15">
        <v>43830</v>
      </c>
      <c r="J78" s="68" t="s">
        <v>13</v>
      </c>
      <c r="K78" s="108"/>
      <c r="L78" s="108"/>
      <c r="M78" s="105"/>
      <c r="N78" s="105"/>
      <c r="O78" s="98"/>
      <c r="P78" s="98"/>
      <c r="Q78" s="105"/>
      <c r="R78" s="102"/>
      <c r="S78" s="102"/>
      <c r="T78" s="106"/>
      <c r="U78" s="105"/>
      <c r="V78" s="105"/>
      <c r="W78" s="98"/>
      <c r="X78" s="98"/>
      <c r="Y78" s="105"/>
      <c r="Z78" s="102"/>
      <c r="AA78" s="102"/>
      <c r="AB78" s="106"/>
      <c r="AC78" s="105"/>
      <c r="AD78" s="105"/>
      <c r="AE78" s="98"/>
      <c r="AF78" s="98"/>
      <c r="AG78" s="105"/>
      <c r="AH78" s="102"/>
      <c r="AI78" s="102"/>
      <c r="AJ78" s="106"/>
      <c r="AK78" s="105"/>
      <c r="AL78" s="105"/>
      <c r="AM78" s="98"/>
      <c r="AN78" s="98"/>
      <c r="AO78" s="105"/>
      <c r="AP78" s="102"/>
      <c r="AQ78" s="102"/>
      <c r="AR78" s="207"/>
    </row>
    <row r="79" spans="1:44" ht="31.5" x14ac:dyDescent="0.25">
      <c r="A79" s="156"/>
      <c r="B79" s="106"/>
      <c r="C79" s="101"/>
      <c r="D79" s="105"/>
      <c r="E79" s="101"/>
      <c r="F79" s="105"/>
      <c r="G79" s="43" t="s">
        <v>240</v>
      </c>
      <c r="H79" s="15">
        <v>43617</v>
      </c>
      <c r="I79" s="15">
        <v>43830</v>
      </c>
      <c r="J79" s="68" t="s">
        <v>13</v>
      </c>
      <c r="K79" s="108"/>
      <c r="L79" s="108"/>
      <c r="M79" s="105"/>
      <c r="N79" s="105"/>
      <c r="O79" s="98"/>
      <c r="P79" s="98"/>
      <c r="Q79" s="105"/>
      <c r="R79" s="102"/>
      <c r="S79" s="102"/>
      <c r="T79" s="106"/>
      <c r="U79" s="105"/>
      <c r="V79" s="105"/>
      <c r="W79" s="98"/>
      <c r="X79" s="98"/>
      <c r="Y79" s="105"/>
      <c r="Z79" s="102"/>
      <c r="AA79" s="102"/>
      <c r="AB79" s="106"/>
      <c r="AC79" s="105"/>
      <c r="AD79" s="105"/>
      <c r="AE79" s="98"/>
      <c r="AF79" s="98"/>
      <c r="AG79" s="105"/>
      <c r="AH79" s="102"/>
      <c r="AI79" s="102"/>
      <c r="AJ79" s="106"/>
      <c r="AK79" s="105"/>
      <c r="AL79" s="105"/>
      <c r="AM79" s="98"/>
      <c r="AN79" s="98"/>
      <c r="AO79" s="105"/>
      <c r="AP79" s="102"/>
      <c r="AQ79" s="102"/>
      <c r="AR79" s="207"/>
    </row>
    <row r="80" spans="1:44" ht="31.5" x14ac:dyDescent="0.25">
      <c r="A80" s="156"/>
      <c r="B80" s="106"/>
      <c r="C80" s="101"/>
      <c r="D80" s="105"/>
      <c r="E80" s="101"/>
      <c r="F80" s="105"/>
      <c r="G80" s="43" t="s">
        <v>241</v>
      </c>
      <c r="H80" s="15">
        <v>43467</v>
      </c>
      <c r="I80" s="15">
        <v>43830</v>
      </c>
      <c r="J80" s="68" t="s">
        <v>13</v>
      </c>
      <c r="K80" s="108"/>
      <c r="L80" s="108"/>
      <c r="M80" s="105"/>
      <c r="N80" s="105"/>
      <c r="O80" s="98"/>
      <c r="P80" s="98"/>
      <c r="Q80" s="105"/>
      <c r="R80" s="102"/>
      <c r="S80" s="102"/>
      <c r="T80" s="106"/>
      <c r="U80" s="105"/>
      <c r="V80" s="105"/>
      <c r="W80" s="98"/>
      <c r="X80" s="98"/>
      <c r="Y80" s="105"/>
      <c r="Z80" s="102"/>
      <c r="AA80" s="102"/>
      <c r="AB80" s="106"/>
      <c r="AC80" s="105"/>
      <c r="AD80" s="105"/>
      <c r="AE80" s="98"/>
      <c r="AF80" s="98"/>
      <c r="AG80" s="105"/>
      <c r="AH80" s="102"/>
      <c r="AI80" s="102"/>
      <c r="AJ80" s="106"/>
      <c r="AK80" s="105"/>
      <c r="AL80" s="105"/>
      <c r="AM80" s="98"/>
      <c r="AN80" s="98"/>
      <c r="AO80" s="105"/>
      <c r="AP80" s="102"/>
      <c r="AQ80" s="102"/>
      <c r="AR80" s="208"/>
    </row>
    <row r="81" spans="1:44" x14ac:dyDescent="0.25">
      <c r="A81" s="92" t="s">
        <v>380</v>
      </c>
      <c r="B81" s="22" t="s">
        <v>380</v>
      </c>
      <c r="C81" s="7"/>
      <c r="D81" s="7" t="s">
        <v>380</v>
      </c>
      <c r="E81" s="7" t="s">
        <v>380</v>
      </c>
      <c r="F81" s="7" t="s">
        <v>380</v>
      </c>
      <c r="G81" s="45" t="s">
        <v>380</v>
      </c>
      <c r="H81" s="7" t="s">
        <v>380</v>
      </c>
      <c r="I81" s="7" t="s">
        <v>380</v>
      </c>
      <c r="J81" s="21" t="s">
        <v>380</v>
      </c>
      <c r="K81" s="29" t="s">
        <v>380</v>
      </c>
      <c r="L81" s="29" t="s">
        <v>380</v>
      </c>
      <c r="M81" s="7" t="s">
        <v>380</v>
      </c>
      <c r="N81" s="7" t="s">
        <v>380</v>
      </c>
      <c r="O81" s="7" t="s">
        <v>380</v>
      </c>
      <c r="P81" s="7" t="s">
        <v>380</v>
      </c>
      <c r="Q81" s="7" t="s">
        <v>380</v>
      </c>
      <c r="R81" s="7" t="s">
        <v>380</v>
      </c>
      <c r="S81" s="7" t="s">
        <v>380</v>
      </c>
      <c r="T81" s="22" t="s">
        <v>380</v>
      </c>
      <c r="U81" s="7" t="s">
        <v>380</v>
      </c>
      <c r="V81" s="7" t="s">
        <v>380</v>
      </c>
      <c r="W81" s="7" t="s">
        <v>380</v>
      </c>
      <c r="X81" s="7" t="s">
        <v>380</v>
      </c>
      <c r="Y81" s="22" t="s">
        <v>380</v>
      </c>
      <c r="Z81" s="81" t="s">
        <v>380</v>
      </c>
      <c r="AA81" s="81" t="s">
        <v>380</v>
      </c>
      <c r="AB81" s="22" t="s">
        <v>380</v>
      </c>
      <c r="AC81" s="7" t="s">
        <v>380</v>
      </c>
      <c r="AD81" s="7" t="s">
        <v>380</v>
      </c>
      <c r="AE81" s="7" t="s">
        <v>380</v>
      </c>
      <c r="AF81" s="71" t="s">
        <v>380</v>
      </c>
      <c r="AG81" s="7" t="s">
        <v>380</v>
      </c>
      <c r="AH81" s="81" t="s">
        <v>380</v>
      </c>
      <c r="AI81" s="81" t="s">
        <v>380</v>
      </c>
      <c r="AJ81" s="22" t="s">
        <v>380</v>
      </c>
      <c r="AK81" s="7" t="s">
        <v>380</v>
      </c>
      <c r="AL81" s="7" t="s">
        <v>380</v>
      </c>
      <c r="AM81" s="7" t="s">
        <v>380</v>
      </c>
      <c r="AN81" s="7" t="s">
        <v>380</v>
      </c>
      <c r="AO81" s="7" t="s">
        <v>380</v>
      </c>
      <c r="AP81" s="81" t="s">
        <v>380</v>
      </c>
      <c r="AQ81" s="81" t="s">
        <v>380</v>
      </c>
      <c r="AR81" s="82" t="s">
        <v>380</v>
      </c>
    </row>
    <row r="82" spans="1:44" ht="28.5" customHeight="1" x14ac:dyDescent="0.25">
      <c r="A82" s="156" t="s">
        <v>100</v>
      </c>
      <c r="B82" s="106" t="s">
        <v>242</v>
      </c>
      <c r="C82" s="105">
        <v>15</v>
      </c>
      <c r="D82" s="105" t="s">
        <v>366</v>
      </c>
      <c r="E82" s="105" t="s">
        <v>349</v>
      </c>
      <c r="F82" s="105" t="s">
        <v>48</v>
      </c>
      <c r="G82" s="43" t="s">
        <v>301</v>
      </c>
      <c r="H82" s="15">
        <v>43467</v>
      </c>
      <c r="I82" s="15">
        <v>43554</v>
      </c>
      <c r="J82" s="35" t="s">
        <v>54</v>
      </c>
      <c r="K82" s="108" t="s">
        <v>313</v>
      </c>
      <c r="L82" s="108" t="s">
        <v>381</v>
      </c>
      <c r="M82" s="98" t="s">
        <v>555</v>
      </c>
      <c r="N82" s="116" t="s">
        <v>602</v>
      </c>
      <c r="O82" s="98">
        <f>IFERROR(((25/71)/(31/71)),"No aplica")</f>
        <v>0.80645161290322576</v>
      </c>
      <c r="P82" s="117" t="s">
        <v>469</v>
      </c>
      <c r="Q82" s="105" t="s">
        <v>601</v>
      </c>
      <c r="R82" s="102" t="s">
        <v>603</v>
      </c>
      <c r="S82" s="102" t="s">
        <v>593</v>
      </c>
      <c r="T82" s="106" t="s">
        <v>381</v>
      </c>
      <c r="U82" s="98" t="s">
        <v>555</v>
      </c>
      <c r="V82" s="116" t="s">
        <v>964</v>
      </c>
      <c r="W82" s="116">
        <f>IFERROR(((31/71)/(43/71)),"No aplica")</f>
        <v>0.72093023255813948</v>
      </c>
      <c r="X82" s="117" t="s">
        <v>469</v>
      </c>
      <c r="Y82" s="105" t="s">
        <v>531</v>
      </c>
      <c r="Z82" s="102" t="s">
        <v>967</v>
      </c>
      <c r="AA82" s="102" t="s">
        <v>966</v>
      </c>
      <c r="AB82" s="106" t="s">
        <v>381</v>
      </c>
      <c r="AC82" s="98" t="s">
        <v>555</v>
      </c>
      <c r="AD82" s="116" t="s">
        <v>1276</v>
      </c>
      <c r="AE82" s="116">
        <f>IFERROR(((39/70)/(57/70)),"No aplica")</f>
        <v>0.68421052631578949</v>
      </c>
      <c r="AF82" s="117" t="s">
        <v>469</v>
      </c>
      <c r="AG82" s="105" t="s">
        <v>531</v>
      </c>
      <c r="AH82" s="102" t="s">
        <v>1278</v>
      </c>
      <c r="AI82" s="102" t="s">
        <v>1279</v>
      </c>
      <c r="AJ82" s="106" t="s">
        <v>381</v>
      </c>
      <c r="AK82" s="98" t="s">
        <v>555</v>
      </c>
      <c r="AL82" s="116" t="s">
        <v>1476</v>
      </c>
      <c r="AM82" s="116">
        <f>IFERROR(((54/70)/(62/70)),"No aplica")</f>
        <v>0.87096774193548399</v>
      </c>
      <c r="AN82" s="117" t="s">
        <v>469</v>
      </c>
      <c r="AO82" s="105" t="s">
        <v>601</v>
      </c>
      <c r="AP82" s="102" t="s">
        <v>1477</v>
      </c>
      <c r="AQ82" s="102" t="s">
        <v>1478</v>
      </c>
      <c r="AR82" s="206" t="s">
        <v>1494</v>
      </c>
    </row>
    <row r="83" spans="1:44" ht="28.5" customHeight="1" x14ac:dyDescent="0.25">
      <c r="A83" s="156"/>
      <c r="B83" s="106"/>
      <c r="C83" s="105"/>
      <c r="D83" s="105"/>
      <c r="E83" s="105"/>
      <c r="F83" s="105"/>
      <c r="G83" s="43" t="s">
        <v>302</v>
      </c>
      <c r="H83" s="15">
        <v>43556</v>
      </c>
      <c r="I83" s="15">
        <v>43830</v>
      </c>
      <c r="J83" s="35" t="s">
        <v>54</v>
      </c>
      <c r="K83" s="108"/>
      <c r="L83" s="108"/>
      <c r="M83" s="105"/>
      <c r="N83" s="116"/>
      <c r="O83" s="98"/>
      <c r="P83" s="117"/>
      <c r="Q83" s="105"/>
      <c r="R83" s="102"/>
      <c r="S83" s="102"/>
      <c r="T83" s="106"/>
      <c r="U83" s="105"/>
      <c r="V83" s="116"/>
      <c r="W83" s="116"/>
      <c r="X83" s="98"/>
      <c r="Y83" s="105"/>
      <c r="Z83" s="140"/>
      <c r="AA83" s="102"/>
      <c r="AB83" s="106"/>
      <c r="AC83" s="105"/>
      <c r="AD83" s="116"/>
      <c r="AE83" s="116"/>
      <c r="AF83" s="98"/>
      <c r="AG83" s="105"/>
      <c r="AH83" s="140"/>
      <c r="AI83" s="102"/>
      <c r="AJ83" s="106"/>
      <c r="AK83" s="105"/>
      <c r="AL83" s="116"/>
      <c r="AM83" s="116"/>
      <c r="AN83" s="117"/>
      <c r="AO83" s="105"/>
      <c r="AP83" s="140"/>
      <c r="AQ83" s="102"/>
      <c r="AR83" s="207"/>
    </row>
    <row r="84" spans="1:44" ht="28.5" customHeight="1" x14ac:dyDescent="0.25">
      <c r="A84" s="156"/>
      <c r="B84" s="106"/>
      <c r="C84" s="105"/>
      <c r="D84" s="105"/>
      <c r="E84" s="105"/>
      <c r="F84" s="105"/>
      <c r="G84" s="43" t="s">
        <v>107</v>
      </c>
      <c r="H84" s="15">
        <v>43570</v>
      </c>
      <c r="I84" s="15">
        <v>43830</v>
      </c>
      <c r="J84" s="35" t="s">
        <v>54</v>
      </c>
      <c r="K84" s="108"/>
      <c r="L84" s="108"/>
      <c r="M84" s="105"/>
      <c r="N84" s="116"/>
      <c r="O84" s="98"/>
      <c r="P84" s="117"/>
      <c r="Q84" s="105"/>
      <c r="R84" s="102"/>
      <c r="S84" s="102"/>
      <c r="T84" s="106"/>
      <c r="U84" s="105"/>
      <c r="V84" s="116"/>
      <c r="W84" s="116"/>
      <c r="X84" s="98"/>
      <c r="Y84" s="105"/>
      <c r="Z84" s="140"/>
      <c r="AA84" s="102"/>
      <c r="AB84" s="106"/>
      <c r="AC84" s="105"/>
      <c r="AD84" s="116"/>
      <c r="AE84" s="116"/>
      <c r="AF84" s="98"/>
      <c r="AG84" s="105"/>
      <c r="AH84" s="140"/>
      <c r="AI84" s="102"/>
      <c r="AJ84" s="106"/>
      <c r="AK84" s="105"/>
      <c r="AL84" s="116"/>
      <c r="AM84" s="116"/>
      <c r="AN84" s="117"/>
      <c r="AO84" s="105"/>
      <c r="AP84" s="140"/>
      <c r="AQ84" s="102"/>
      <c r="AR84" s="207"/>
    </row>
    <row r="85" spans="1:44" ht="28.5" customHeight="1" x14ac:dyDescent="0.25">
      <c r="A85" s="156"/>
      <c r="B85" s="106"/>
      <c r="C85" s="105"/>
      <c r="D85" s="105"/>
      <c r="E85" s="105"/>
      <c r="F85" s="105"/>
      <c r="G85" s="43" t="s">
        <v>68</v>
      </c>
      <c r="H85" s="15">
        <v>43587</v>
      </c>
      <c r="I85" s="15">
        <v>43830</v>
      </c>
      <c r="J85" s="35" t="s">
        <v>54</v>
      </c>
      <c r="K85" s="108"/>
      <c r="L85" s="108"/>
      <c r="M85" s="105"/>
      <c r="N85" s="116"/>
      <c r="O85" s="98"/>
      <c r="P85" s="117"/>
      <c r="Q85" s="105"/>
      <c r="R85" s="102"/>
      <c r="S85" s="102"/>
      <c r="T85" s="106"/>
      <c r="U85" s="105"/>
      <c r="V85" s="116"/>
      <c r="W85" s="116"/>
      <c r="X85" s="98"/>
      <c r="Y85" s="105"/>
      <c r="Z85" s="140"/>
      <c r="AA85" s="102"/>
      <c r="AB85" s="106"/>
      <c r="AC85" s="105"/>
      <c r="AD85" s="116"/>
      <c r="AE85" s="116"/>
      <c r="AF85" s="98"/>
      <c r="AG85" s="105"/>
      <c r="AH85" s="140"/>
      <c r="AI85" s="102"/>
      <c r="AJ85" s="106"/>
      <c r="AK85" s="105"/>
      <c r="AL85" s="116"/>
      <c r="AM85" s="116"/>
      <c r="AN85" s="117"/>
      <c r="AO85" s="105"/>
      <c r="AP85" s="140"/>
      <c r="AQ85" s="102"/>
      <c r="AR85" s="207"/>
    </row>
    <row r="86" spans="1:44" ht="28.5" customHeight="1" x14ac:dyDescent="0.25">
      <c r="A86" s="156"/>
      <c r="B86" s="106"/>
      <c r="C86" s="105"/>
      <c r="D86" s="105"/>
      <c r="E86" s="105"/>
      <c r="F86" s="105"/>
      <c r="G86" s="43" t="s">
        <v>215</v>
      </c>
      <c r="H86" s="15">
        <v>43678</v>
      </c>
      <c r="I86" s="15">
        <v>43830</v>
      </c>
      <c r="J86" s="35" t="s">
        <v>54</v>
      </c>
      <c r="K86" s="108"/>
      <c r="L86" s="108"/>
      <c r="M86" s="105"/>
      <c r="N86" s="116"/>
      <c r="O86" s="98"/>
      <c r="P86" s="117"/>
      <c r="Q86" s="105"/>
      <c r="R86" s="102"/>
      <c r="S86" s="102"/>
      <c r="T86" s="106"/>
      <c r="U86" s="105"/>
      <c r="V86" s="116"/>
      <c r="W86" s="116"/>
      <c r="X86" s="98"/>
      <c r="Y86" s="105"/>
      <c r="Z86" s="140"/>
      <c r="AA86" s="102"/>
      <c r="AB86" s="106"/>
      <c r="AC86" s="105"/>
      <c r="AD86" s="116"/>
      <c r="AE86" s="116"/>
      <c r="AF86" s="98"/>
      <c r="AG86" s="105"/>
      <c r="AH86" s="140"/>
      <c r="AI86" s="102"/>
      <c r="AJ86" s="106"/>
      <c r="AK86" s="105"/>
      <c r="AL86" s="116"/>
      <c r="AM86" s="116"/>
      <c r="AN86" s="117"/>
      <c r="AO86" s="105"/>
      <c r="AP86" s="140"/>
      <c r="AQ86" s="102"/>
      <c r="AR86" s="207"/>
    </row>
    <row r="87" spans="1:44" ht="28.5" customHeight="1" x14ac:dyDescent="0.25">
      <c r="A87" s="156"/>
      <c r="B87" s="106"/>
      <c r="C87" s="105"/>
      <c r="D87" s="105"/>
      <c r="E87" s="105"/>
      <c r="F87" s="105" t="s">
        <v>49</v>
      </c>
      <c r="G87" s="43" t="s">
        <v>303</v>
      </c>
      <c r="H87" s="15">
        <v>43678</v>
      </c>
      <c r="I87" s="15">
        <v>43830</v>
      </c>
      <c r="J87" s="35" t="s">
        <v>54</v>
      </c>
      <c r="K87" s="108"/>
      <c r="L87" s="108"/>
      <c r="M87" s="105"/>
      <c r="N87" s="116"/>
      <c r="O87" s="98"/>
      <c r="P87" s="117"/>
      <c r="Q87" s="105"/>
      <c r="R87" s="102"/>
      <c r="S87" s="102"/>
      <c r="T87" s="106"/>
      <c r="U87" s="105"/>
      <c r="V87" s="116"/>
      <c r="W87" s="116"/>
      <c r="X87" s="98"/>
      <c r="Y87" s="105"/>
      <c r="Z87" s="140"/>
      <c r="AA87" s="102"/>
      <c r="AB87" s="106"/>
      <c r="AC87" s="105"/>
      <c r="AD87" s="116"/>
      <c r="AE87" s="116"/>
      <c r="AF87" s="98"/>
      <c r="AG87" s="105"/>
      <c r="AH87" s="140"/>
      <c r="AI87" s="102"/>
      <c r="AJ87" s="106"/>
      <c r="AK87" s="105"/>
      <c r="AL87" s="116"/>
      <c r="AM87" s="116"/>
      <c r="AN87" s="117"/>
      <c r="AO87" s="105"/>
      <c r="AP87" s="140"/>
      <c r="AQ87" s="102"/>
      <c r="AR87" s="207"/>
    </row>
    <row r="88" spans="1:44" ht="28.5" customHeight="1" x14ac:dyDescent="0.25">
      <c r="A88" s="156"/>
      <c r="B88" s="106"/>
      <c r="C88" s="105"/>
      <c r="D88" s="105"/>
      <c r="E88" s="105"/>
      <c r="F88" s="105"/>
      <c r="G88" s="43" t="s">
        <v>304</v>
      </c>
      <c r="H88" s="15">
        <v>43678</v>
      </c>
      <c r="I88" s="15">
        <v>43830</v>
      </c>
      <c r="J88" s="35" t="s">
        <v>54</v>
      </c>
      <c r="K88" s="108"/>
      <c r="L88" s="108"/>
      <c r="M88" s="105"/>
      <c r="N88" s="116"/>
      <c r="O88" s="98"/>
      <c r="P88" s="117"/>
      <c r="Q88" s="105"/>
      <c r="R88" s="102"/>
      <c r="S88" s="102"/>
      <c r="T88" s="106"/>
      <c r="U88" s="105"/>
      <c r="V88" s="116"/>
      <c r="W88" s="116"/>
      <c r="X88" s="98"/>
      <c r="Y88" s="105"/>
      <c r="Z88" s="140"/>
      <c r="AA88" s="102"/>
      <c r="AB88" s="106"/>
      <c r="AC88" s="105"/>
      <c r="AD88" s="116"/>
      <c r="AE88" s="116"/>
      <c r="AF88" s="98"/>
      <c r="AG88" s="105"/>
      <c r="AH88" s="140"/>
      <c r="AI88" s="102"/>
      <c r="AJ88" s="106"/>
      <c r="AK88" s="105"/>
      <c r="AL88" s="116"/>
      <c r="AM88" s="116"/>
      <c r="AN88" s="117"/>
      <c r="AO88" s="105"/>
      <c r="AP88" s="140"/>
      <c r="AQ88" s="102"/>
      <c r="AR88" s="208"/>
    </row>
    <row r="89" spans="1:44" ht="72" customHeight="1" x14ac:dyDescent="0.25">
      <c r="A89" s="165" t="s">
        <v>97</v>
      </c>
      <c r="B89" s="166" t="s">
        <v>243</v>
      </c>
      <c r="C89" s="159">
        <v>16</v>
      </c>
      <c r="D89" s="159" t="s">
        <v>367</v>
      </c>
      <c r="E89" s="159">
        <v>0</v>
      </c>
      <c r="F89" s="159" t="s">
        <v>50</v>
      </c>
      <c r="G89" s="59" t="s">
        <v>826</v>
      </c>
      <c r="H89" s="60">
        <v>43467</v>
      </c>
      <c r="I89" s="60">
        <v>43830</v>
      </c>
      <c r="J89" s="61" t="s">
        <v>54</v>
      </c>
      <c r="K89" s="160" t="s">
        <v>313</v>
      </c>
      <c r="L89" s="108" t="s">
        <v>106</v>
      </c>
      <c r="M89" s="105" t="s">
        <v>476</v>
      </c>
      <c r="N89" s="105" t="s">
        <v>476</v>
      </c>
      <c r="O89" s="98">
        <f>IFERROR((1%/1%),"No aplica")</f>
        <v>1</v>
      </c>
      <c r="P89" s="98">
        <f>IFERROR((1%/50%),"No aplica")</f>
        <v>0.02</v>
      </c>
      <c r="Q89" s="105" t="s">
        <v>458</v>
      </c>
      <c r="R89" s="102" t="s">
        <v>564</v>
      </c>
      <c r="S89" s="102" t="s">
        <v>584</v>
      </c>
      <c r="T89" s="106" t="s">
        <v>106</v>
      </c>
      <c r="U89" s="105" t="s">
        <v>735</v>
      </c>
      <c r="V89" s="105" t="s">
        <v>925</v>
      </c>
      <c r="W89" s="98">
        <f>IFERROR((18.1%/20%),"No aplica")</f>
        <v>0.90500000000000003</v>
      </c>
      <c r="X89" s="98">
        <f>IFERROR(((1%+18.1%)/50%),"No aplica")</f>
        <v>0.38200000000000006</v>
      </c>
      <c r="Y89" s="105" t="s">
        <v>601</v>
      </c>
      <c r="Z89" s="102" t="s">
        <v>977</v>
      </c>
      <c r="AA89" s="102" t="s">
        <v>978</v>
      </c>
      <c r="AB89" s="106" t="s">
        <v>106</v>
      </c>
      <c r="AC89" s="105" t="s">
        <v>1092</v>
      </c>
      <c r="AD89" s="105" t="s">
        <v>1093</v>
      </c>
      <c r="AE89" s="98">
        <f>IFERROR((20.8%/23%),"No aplica")</f>
        <v>0.90434782608695652</v>
      </c>
      <c r="AF89" s="98">
        <f>IFERROR(((1%+18.1%+20.8%)/50%),"No aplica")</f>
        <v>0.79800000000000004</v>
      </c>
      <c r="AG89" s="105" t="s">
        <v>601</v>
      </c>
      <c r="AH89" s="102" t="s">
        <v>1181</v>
      </c>
      <c r="AI89" s="102" t="s">
        <v>1094</v>
      </c>
      <c r="AJ89" s="106" t="s">
        <v>106</v>
      </c>
      <c r="AK89" s="105" t="s">
        <v>1316</v>
      </c>
      <c r="AL89" s="105" t="s">
        <v>1317</v>
      </c>
      <c r="AM89" s="116">
        <f>IFERROR((11%/6%),"No aplica")</f>
        <v>1.8333333333333335</v>
      </c>
      <c r="AN89" s="116">
        <f>IFERROR(((1%+17.1%+20.8%+11%)/50%),"No aplica")</f>
        <v>0.998</v>
      </c>
      <c r="AO89" s="105" t="s">
        <v>601</v>
      </c>
      <c r="AP89" s="102" t="s">
        <v>1430</v>
      </c>
      <c r="AQ89" s="102" t="s">
        <v>1318</v>
      </c>
      <c r="AR89" s="206" t="s">
        <v>1319</v>
      </c>
    </row>
    <row r="90" spans="1:44" ht="72" customHeight="1" x14ac:dyDescent="0.25">
      <c r="A90" s="165"/>
      <c r="B90" s="166"/>
      <c r="C90" s="159"/>
      <c r="D90" s="159"/>
      <c r="E90" s="159"/>
      <c r="F90" s="159"/>
      <c r="G90" s="59" t="s">
        <v>105</v>
      </c>
      <c r="H90" s="60">
        <v>43739</v>
      </c>
      <c r="I90" s="60">
        <v>43830</v>
      </c>
      <c r="J90" s="61" t="s">
        <v>54</v>
      </c>
      <c r="K90" s="160"/>
      <c r="L90" s="108"/>
      <c r="M90" s="105"/>
      <c r="N90" s="105"/>
      <c r="O90" s="98"/>
      <c r="P90" s="98"/>
      <c r="Q90" s="105"/>
      <c r="R90" s="102"/>
      <c r="S90" s="102"/>
      <c r="T90" s="106"/>
      <c r="U90" s="105"/>
      <c r="V90" s="105"/>
      <c r="W90" s="98"/>
      <c r="X90" s="98"/>
      <c r="Y90" s="105"/>
      <c r="Z90" s="102"/>
      <c r="AA90" s="102"/>
      <c r="AB90" s="106"/>
      <c r="AC90" s="105"/>
      <c r="AD90" s="105"/>
      <c r="AE90" s="98"/>
      <c r="AF90" s="98"/>
      <c r="AG90" s="105"/>
      <c r="AH90" s="102"/>
      <c r="AI90" s="102"/>
      <c r="AJ90" s="106"/>
      <c r="AK90" s="105"/>
      <c r="AL90" s="105"/>
      <c r="AM90" s="116"/>
      <c r="AN90" s="116"/>
      <c r="AO90" s="105"/>
      <c r="AP90" s="102"/>
      <c r="AQ90" s="102"/>
      <c r="AR90" s="207"/>
    </row>
    <row r="91" spans="1:44" ht="72" customHeight="1" x14ac:dyDescent="0.25">
      <c r="A91" s="165"/>
      <c r="B91" s="166"/>
      <c r="C91" s="159"/>
      <c r="D91" s="159"/>
      <c r="E91" s="159"/>
      <c r="F91" s="159"/>
      <c r="G91" s="59" t="s">
        <v>715</v>
      </c>
      <c r="H91" s="60">
        <v>43586</v>
      </c>
      <c r="I91" s="60">
        <v>43829</v>
      </c>
      <c r="J91" s="61" t="s">
        <v>54</v>
      </c>
      <c r="K91" s="160"/>
      <c r="L91" s="108"/>
      <c r="M91" s="105"/>
      <c r="N91" s="105"/>
      <c r="O91" s="98"/>
      <c r="P91" s="98"/>
      <c r="Q91" s="105"/>
      <c r="R91" s="102"/>
      <c r="S91" s="102"/>
      <c r="T91" s="106"/>
      <c r="U91" s="105"/>
      <c r="V91" s="105"/>
      <c r="W91" s="98"/>
      <c r="X91" s="98"/>
      <c r="Y91" s="105"/>
      <c r="Z91" s="102"/>
      <c r="AA91" s="102"/>
      <c r="AB91" s="106"/>
      <c r="AC91" s="105"/>
      <c r="AD91" s="105"/>
      <c r="AE91" s="98"/>
      <c r="AF91" s="98"/>
      <c r="AG91" s="105"/>
      <c r="AH91" s="102"/>
      <c r="AI91" s="102"/>
      <c r="AJ91" s="106"/>
      <c r="AK91" s="105"/>
      <c r="AL91" s="105"/>
      <c r="AM91" s="116"/>
      <c r="AN91" s="116"/>
      <c r="AO91" s="105"/>
      <c r="AP91" s="102"/>
      <c r="AQ91" s="102"/>
      <c r="AR91" s="207"/>
    </row>
    <row r="92" spans="1:44" ht="72" customHeight="1" x14ac:dyDescent="0.25">
      <c r="A92" s="165"/>
      <c r="B92" s="166"/>
      <c r="C92" s="159"/>
      <c r="D92" s="159"/>
      <c r="E92" s="159"/>
      <c r="F92" s="159"/>
      <c r="G92" s="59" t="s">
        <v>398</v>
      </c>
      <c r="H92" s="60">
        <v>43467</v>
      </c>
      <c r="I92" s="60">
        <v>43830</v>
      </c>
      <c r="J92" s="61" t="s">
        <v>54</v>
      </c>
      <c r="K92" s="160"/>
      <c r="L92" s="108"/>
      <c r="M92" s="105"/>
      <c r="N92" s="105"/>
      <c r="O92" s="98"/>
      <c r="P92" s="98"/>
      <c r="Q92" s="105"/>
      <c r="R92" s="102"/>
      <c r="S92" s="102"/>
      <c r="T92" s="106"/>
      <c r="U92" s="105"/>
      <c r="V92" s="105"/>
      <c r="W92" s="98"/>
      <c r="X92" s="98"/>
      <c r="Y92" s="105"/>
      <c r="Z92" s="102"/>
      <c r="AA92" s="102"/>
      <c r="AB92" s="106"/>
      <c r="AC92" s="105"/>
      <c r="AD92" s="105"/>
      <c r="AE92" s="98"/>
      <c r="AF92" s="98"/>
      <c r="AG92" s="105"/>
      <c r="AH92" s="102"/>
      <c r="AI92" s="102"/>
      <c r="AJ92" s="106"/>
      <c r="AK92" s="105"/>
      <c r="AL92" s="105"/>
      <c r="AM92" s="116"/>
      <c r="AN92" s="116"/>
      <c r="AO92" s="105"/>
      <c r="AP92" s="102"/>
      <c r="AQ92" s="102"/>
      <c r="AR92" s="208"/>
    </row>
    <row r="93" spans="1:44" ht="31.5" customHeight="1" x14ac:dyDescent="0.25">
      <c r="A93" s="156" t="s">
        <v>97</v>
      </c>
      <c r="B93" s="106" t="s">
        <v>244</v>
      </c>
      <c r="C93" s="105">
        <v>17</v>
      </c>
      <c r="D93" s="105" t="s">
        <v>365</v>
      </c>
      <c r="E93" s="105">
        <v>0</v>
      </c>
      <c r="F93" s="105" t="s">
        <v>383</v>
      </c>
      <c r="G93" s="43" t="s">
        <v>69</v>
      </c>
      <c r="H93" s="15">
        <v>43539</v>
      </c>
      <c r="I93" s="15">
        <v>43567</v>
      </c>
      <c r="J93" s="35" t="s">
        <v>54</v>
      </c>
      <c r="K93" s="108" t="s">
        <v>313</v>
      </c>
      <c r="L93" s="108" t="s">
        <v>368</v>
      </c>
      <c r="M93" s="105" t="s">
        <v>554</v>
      </c>
      <c r="N93" s="105" t="s">
        <v>554</v>
      </c>
      <c r="O93" s="98" t="str">
        <f>IFERROR((0/0),"No aplica")</f>
        <v>No aplica</v>
      </c>
      <c r="P93" s="98">
        <f>IFERROR((0/2),"No aplica")</f>
        <v>0</v>
      </c>
      <c r="Q93" s="105" t="s">
        <v>457</v>
      </c>
      <c r="R93" s="102" t="s">
        <v>979</v>
      </c>
      <c r="S93" s="102" t="s">
        <v>309</v>
      </c>
      <c r="T93" s="106" t="s">
        <v>368</v>
      </c>
      <c r="U93" s="105" t="s">
        <v>554</v>
      </c>
      <c r="V93" s="105" t="s">
        <v>554</v>
      </c>
      <c r="W93" s="98" t="str">
        <f>IFERROR((0/0),"No aplica")</f>
        <v>No aplica</v>
      </c>
      <c r="X93" s="98">
        <f>IFERROR((0/2),"No aplica")</f>
        <v>0</v>
      </c>
      <c r="Y93" s="105" t="s">
        <v>457</v>
      </c>
      <c r="Z93" s="102" t="s">
        <v>980</v>
      </c>
      <c r="AA93" s="102" t="s">
        <v>926</v>
      </c>
      <c r="AB93" s="106" t="s">
        <v>368</v>
      </c>
      <c r="AC93" s="105" t="s">
        <v>1095</v>
      </c>
      <c r="AD93" s="105" t="s">
        <v>1095</v>
      </c>
      <c r="AE93" s="98">
        <f>IFERROR((2/2),"No aplica")</f>
        <v>1</v>
      </c>
      <c r="AF93" s="98">
        <f>IFERROR((2/2),"No aplica")</f>
        <v>1</v>
      </c>
      <c r="AG93" s="105" t="s">
        <v>458</v>
      </c>
      <c r="AH93" s="102" t="s">
        <v>1096</v>
      </c>
      <c r="AI93" s="102" t="s">
        <v>1097</v>
      </c>
      <c r="AJ93" s="106" t="s">
        <v>368</v>
      </c>
      <c r="AK93" s="105" t="s">
        <v>554</v>
      </c>
      <c r="AL93" s="105" t="s">
        <v>554</v>
      </c>
      <c r="AM93" s="98" t="str">
        <f>IFERROR((0/0),"No aplica")</f>
        <v>No aplica</v>
      </c>
      <c r="AN93" s="98">
        <f>IFERROR((2/2),"No aplica")</f>
        <v>1</v>
      </c>
      <c r="AO93" s="105" t="s">
        <v>458</v>
      </c>
      <c r="AP93" s="102" t="s">
        <v>1320</v>
      </c>
      <c r="AQ93" s="102" t="s">
        <v>1321</v>
      </c>
      <c r="AR93" s="206" t="s">
        <v>1322</v>
      </c>
    </row>
    <row r="94" spans="1:44" ht="31.5" customHeight="1" x14ac:dyDescent="0.25">
      <c r="A94" s="156"/>
      <c r="B94" s="106"/>
      <c r="C94" s="105"/>
      <c r="D94" s="105"/>
      <c r="E94" s="105"/>
      <c r="F94" s="105"/>
      <c r="G94" s="43" t="s">
        <v>716</v>
      </c>
      <c r="H94" s="15">
        <v>43539</v>
      </c>
      <c r="I94" s="15">
        <v>43567</v>
      </c>
      <c r="J94" s="35" t="s">
        <v>54</v>
      </c>
      <c r="K94" s="108"/>
      <c r="L94" s="108"/>
      <c r="M94" s="105"/>
      <c r="N94" s="105"/>
      <c r="O94" s="98"/>
      <c r="P94" s="98"/>
      <c r="Q94" s="105"/>
      <c r="R94" s="102"/>
      <c r="S94" s="102"/>
      <c r="T94" s="106"/>
      <c r="U94" s="105"/>
      <c r="V94" s="105"/>
      <c r="W94" s="98"/>
      <c r="X94" s="98"/>
      <c r="Y94" s="105"/>
      <c r="Z94" s="102"/>
      <c r="AA94" s="102"/>
      <c r="AB94" s="106"/>
      <c r="AC94" s="105"/>
      <c r="AD94" s="105"/>
      <c r="AE94" s="98"/>
      <c r="AF94" s="98"/>
      <c r="AG94" s="105"/>
      <c r="AH94" s="102"/>
      <c r="AI94" s="102"/>
      <c r="AJ94" s="106"/>
      <c r="AK94" s="105"/>
      <c r="AL94" s="105"/>
      <c r="AM94" s="98"/>
      <c r="AN94" s="98"/>
      <c r="AO94" s="105"/>
      <c r="AP94" s="102"/>
      <c r="AQ94" s="102"/>
      <c r="AR94" s="207"/>
    </row>
    <row r="95" spans="1:44" ht="31.5" customHeight="1" x14ac:dyDescent="0.25">
      <c r="A95" s="156"/>
      <c r="B95" s="106"/>
      <c r="C95" s="105"/>
      <c r="D95" s="105"/>
      <c r="E95" s="105"/>
      <c r="F95" s="105"/>
      <c r="G95" s="43" t="s">
        <v>717</v>
      </c>
      <c r="H95" s="15">
        <v>43549</v>
      </c>
      <c r="I95" s="15">
        <v>43616</v>
      </c>
      <c r="J95" s="35" t="s">
        <v>54</v>
      </c>
      <c r="K95" s="108"/>
      <c r="L95" s="108"/>
      <c r="M95" s="105"/>
      <c r="N95" s="105"/>
      <c r="O95" s="98"/>
      <c r="P95" s="98"/>
      <c r="Q95" s="105"/>
      <c r="R95" s="102"/>
      <c r="S95" s="102"/>
      <c r="T95" s="106"/>
      <c r="U95" s="105"/>
      <c r="V95" s="105"/>
      <c r="W95" s="98"/>
      <c r="X95" s="98"/>
      <c r="Y95" s="105"/>
      <c r="Z95" s="102"/>
      <c r="AA95" s="102"/>
      <c r="AB95" s="106"/>
      <c r="AC95" s="105"/>
      <c r="AD95" s="105"/>
      <c r="AE95" s="98"/>
      <c r="AF95" s="98"/>
      <c r="AG95" s="105"/>
      <c r="AH95" s="102"/>
      <c r="AI95" s="102"/>
      <c r="AJ95" s="106"/>
      <c r="AK95" s="105"/>
      <c r="AL95" s="105"/>
      <c r="AM95" s="98"/>
      <c r="AN95" s="98"/>
      <c r="AO95" s="105"/>
      <c r="AP95" s="102"/>
      <c r="AQ95" s="102"/>
      <c r="AR95" s="208"/>
    </row>
    <row r="96" spans="1:44" ht="73.5" customHeight="1" x14ac:dyDescent="0.25">
      <c r="A96" s="156" t="s">
        <v>97</v>
      </c>
      <c r="B96" s="106" t="s">
        <v>244</v>
      </c>
      <c r="C96" s="105">
        <v>18</v>
      </c>
      <c r="D96" s="105" t="s">
        <v>108</v>
      </c>
      <c r="E96" s="105">
        <v>0</v>
      </c>
      <c r="F96" s="105" t="s">
        <v>50</v>
      </c>
      <c r="G96" s="43" t="s">
        <v>109</v>
      </c>
      <c r="H96" s="15">
        <v>43467</v>
      </c>
      <c r="I96" s="15">
        <v>43830</v>
      </c>
      <c r="J96" s="35" t="s">
        <v>54</v>
      </c>
      <c r="K96" s="108" t="s">
        <v>313</v>
      </c>
      <c r="L96" s="108" t="s">
        <v>216</v>
      </c>
      <c r="M96" s="105" t="s">
        <v>477</v>
      </c>
      <c r="N96" s="105" t="s">
        <v>477</v>
      </c>
      <c r="O96" s="98">
        <f>IFERROR((0.07%/0.07%),"No aplica")</f>
        <v>1</v>
      </c>
      <c r="P96" s="98">
        <f>IFERROR((0.07%/100%),"No aplica")</f>
        <v>7.000000000000001E-4</v>
      </c>
      <c r="Q96" s="105" t="s">
        <v>458</v>
      </c>
      <c r="R96" s="102" t="s">
        <v>565</v>
      </c>
      <c r="S96" s="102" t="s">
        <v>827</v>
      </c>
      <c r="T96" s="106" t="s">
        <v>216</v>
      </c>
      <c r="U96" s="105" t="s">
        <v>929</v>
      </c>
      <c r="V96" s="105" t="s">
        <v>930</v>
      </c>
      <c r="W96" s="116">
        <f>IFERROR((2.07%/17.46%),"No aplica")</f>
        <v>0.11855670103092783</v>
      </c>
      <c r="X96" s="116">
        <f>IFERROR((2.07%/100%),"No aplica")</f>
        <v>2.07E-2</v>
      </c>
      <c r="Y96" s="105" t="s">
        <v>474</v>
      </c>
      <c r="Z96" s="102" t="s">
        <v>927</v>
      </c>
      <c r="AA96" s="102" t="s">
        <v>928</v>
      </c>
      <c r="AB96" s="106" t="s">
        <v>216</v>
      </c>
      <c r="AC96" s="105" t="s">
        <v>1098</v>
      </c>
      <c r="AD96" s="105" t="s">
        <v>1099</v>
      </c>
      <c r="AE96" s="116">
        <f>IFERROR((6.71%/61.1%),"No aplica")</f>
        <v>0.10981996726677577</v>
      </c>
      <c r="AF96" s="116">
        <f>IFERROR((6.71%/100%),"No aplica")</f>
        <v>6.7099999999999993E-2</v>
      </c>
      <c r="AG96" s="105" t="s">
        <v>474</v>
      </c>
      <c r="AH96" s="102" t="s">
        <v>1182</v>
      </c>
      <c r="AI96" s="102" t="s">
        <v>1100</v>
      </c>
      <c r="AJ96" s="106" t="s">
        <v>216</v>
      </c>
      <c r="AK96" s="105" t="s">
        <v>216</v>
      </c>
      <c r="AL96" s="105" t="s">
        <v>1323</v>
      </c>
      <c r="AM96" s="116">
        <f>IFERROR((40.63%/90%),"No aplica")</f>
        <v>0.45144444444444448</v>
      </c>
      <c r="AN96" s="116">
        <f>IFERROR((40.63%/90%),"No aplica")</f>
        <v>0.45144444444444448</v>
      </c>
      <c r="AO96" s="105" t="s">
        <v>474</v>
      </c>
      <c r="AP96" s="102" t="s">
        <v>1324</v>
      </c>
      <c r="AQ96" s="102" t="s">
        <v>1325</v>
      </c>
      <c r="AR96" s="206" t="s">
        <v>1326</v>
      </c>
    </row>
    <row r="97" spans="1:44" ht="73.5" customHeight="1" x14ac:dyDescent="0.25">
      <c r="A97" s="156"/>
      <c r="B97" s="106"/>
      <c r="C97" s="105"/>
      <c r="D97" s="105"/>
      <c r="E97" s="105"/>
      <c r="F97" s="105"/>
      <c r="G97" s="43" t="s">
        <v>305</v>
      </c>
      <c r="H97" s="15">
        <v>43496</v>
      </c>
      <c r="I97" s="15">
        <v>43830</v>
      </c>
      <c r="J97" s="35" t="s">
        <v>54</v>
      </c>
      <c r="K97" s="108"/>
      <c r="L97" s="108"/>
      <c r="M97" s="105"/>
      <c r="N97" s="105"/>
      <c r="O97" s="98"/>
      <c r="P97" s="98"/>
      <c r="Q97" s="105"/>
      <c r="R97" s="102"/>
      <c r="S97" s="102"/>
      <c r="T97" s="106"/>
      <c r="U97" s="105"/>
      <c r="V97" s="105"/>
      <c r="W97" s="116"/>
      <c r="X97" s="116"/>
      <c r="Y97" s="105"/>
      <c r="Z97" s="102"/>
      <c r="AA97" s="102"/>
      <c r="AB97" s="106"/>
      <c r="AC97" s="105"/>
      <c r="AD97" s="105"/>
      <c r="AE97" s="116"/>
      <c r="AF97" s="116"/>
      <c r="AG97" s="105"/>
      <c r="AH97" s="102"/>
      <c r="AI97" s="102"/>
      <c r="AJ97" s="106"/>
      <c r="AK97" s="105"/>
      <c r="AL97" s="105"/>
      <c r="AM97" s="116"/>
      <c r="AN97" s="116"/>
      <c r="AO97" s="105"/>
      <c r="AP97" s="102"/>
      <c r="AQ97" s="102"/>
      <c r="AR97" s="208"/>
    </row>
    <row r="98" spans="1:44" ht="87.75" customHeight="1" x14ac:dyDescent="0.25">
      <c r="A98" s="156" t="s">
        <v>97</v>
      </c>
      <c r="B98" s="106" t="s">
        <v>245</v>
      </c>
      <c r="C98" s="105">
        <v>19</v>
      </c>
      <c r="D98" s="105" t="s">
        <v>70</v>
      </c>
      <c r="E98" s="105">
        <v>0</v>
      </c>
      <c r="F98" s="105" t="s">
        <v>52</v>
      </c>
      <c r="G98" s="43" t="s">
        <v>71</v>
      </c>
      <c r="H98" s="15">
        <v>43578</v>
      </c>
      <c r="I98" s="15">
        <v>43708</v>
      </c>
      <c r="J98" s="35" t="s">
        <v>54</v>
      </c>
      <c r="K98" s="108" t="s">
        <v>313</v>
      </c>
      <c r="L98" s="108" t="s">
        <v>51</v>
      </c>
      <c r="M98" s="105" t="s">
        <v>478</v>
      </c>
      <c r="N98" s="105" t="s">
        <v>478</v>
      </c>
      <c r="O98" s="98">
        <f>IFERROR((7%/7%),"No aplica")</f>
        <v>1</v>
      </c>
      <c r="P98" s="98">
        <f>IFERROR((7%/100%),"No aplica")</f>
        <v>7.0000000000000007E-2</v>
      </c>
      <c r="Q98" s="105" t="s">
        <v>458</v>
      </c>
      <c r="R98" s="102" t="s">
        <v>566</v>
      </c>
      <c r="S98" s="102" t="s">
        <v>479</v>
      </c>
      <c r="T98" s="106" t="s">
        <v>51</v>
      </c>
      <c r="U98" s="105" t="s">
        <v>744</v>
      </c>
      <c r="V98" s="105" t="s">
        <v>744</v>
      </c>
      <c r="W98" s="98">
        <f>IFERROR((22%/22%),"No aplica")</f>
        <v>1</v>
      </c>
      <c r="X98" s="98">
        <f>IFERROR(((7%+22%)/100%),"No aplica")</f>
        <v>0.29000000000000004</v>
      </c>
      <c r="Y98" s="105" t="s">
        <v>458</v>
      </c>
      <c r="Z98" s="102" t="s">
        <v>828</v>
      </c>
      <c r="AA98" s="102" t="s">
        <v>745</v>
      </c>
      <c r="AB98" s="106" t="s">
        <v>51</v>
      </c>
      <c r="AC98" s="105" t="s">
        <v>1101</v>
      </c>
      <c r="AD98" s="105" t="s">
        <v>1102</v>
      </c>
      <c r="AE98" s="98">
        <f>IFERROR((37%/39%),"No aplica")</f>
        <v>0.94871794871794868</v>
      </c>
      <c r="AF98" s="98">
        <f>IFERROR(((7%+22%+37%)/100%),"No aplica")</f>
        <v>0.66</v>
      </c>
      <c r="AG98" s="105" t="s">
        <v>601</v>
      </c>
      <c r="AH98" s="102" t="s">
        <v>1103</v>
      </c>
      <c r="AI98" s="102" t="s">
        <v>1104</v>
      </c>
      <c r="AJ98" s="106" t="s">
        <v>51</v>
      </c>
      <c r="AK98" s="105" t="s">
        <v>1327</v>
      </c>
      <c r="AL98" s="105" t="s">
        <v>744</v>
      </c>
      <c r="AM98" s="98">
        <f>IFERROR((32%/32%),"No aplica")</f>
        <v>1</v>
      </c>
      <c r="AN98" s="98">
        <f>IFERROR(((7%+22%+37%+22%)/100%),"No aplica")</f>
        <v>0.88</v>
      </c>
      <c r="AO98" s="105" t="s">
        <v>531</v>
      </c>
      <c r="AP98" s="102" t="s">
        <v>1556</v>
      </c>
      <c r="AQ98" s="102" t="s">
        <v>1557</v>
      </c>
      <c r="AR98" s="206" t="s">
        <v>1328</v>
      </c>
    </row>
    <row r="99" spans="1:44" ht="87.75" customHeight="1" x14ac:dyDescent="0.25">
      <c r="A99" s="156"/>
      <c r="B99" s="106"/>
      <c r="C99" s="105"/>
      <c r="D99" s="105"/>
      <c r="E99" s="105"/>
      <c r="F99" s="105"/>
      <c r="G99" s="43" t="s">
        <v>110</v>
      </c>
      <c r="H99" s="15">
        <v>43708</v>
      </c>
      <c r="I99" s="15">
        <v>43830</v>
      </c>
      <c r="J99" s="35" t="s">
        <v>54</v>
      </c>
      <c r="K99" s="108"/>
      <c r="L99" s="108"/>
      <c r="M99" s="105"/>
      <c r="N99" s="105"/>
      <c r="O99" s="98"/>
      <c r="P99" s="98"/>
      <c r="Q99" s="105"/>
      <c r="R99" s="102"/>
      <c r="S99" s="102"/>
      <c r="T99" s="106"/>
      <c r="U99" s="105"/>
      <c r="V99" s="105"/>
      <c r="W99" s="98"/>
      <c r="X99" s="98"/>
      <c r="Y99" s="105"/>
      <c r="Z99" s="102"/>
      <c r="AA99" s="102"/>
      <c r="AB99" s="106"/>
      <c r="AC99" s="105"/>
      <c r="AD99" s="105"/>
      <c r="AE99" s="98"/>
      <c r="AF99" s="98"/>
      <c r="AG99" s="105"/>
      <c r="AH99" s="102"/>
      <c r="AI99" s="102"/>
      <c r="AJ99" s="106"/>
      <c r="AK99" s="105"/>
      <c r="AL99" s="105"/>
      <c r="AM99" s="98"/>
      <c r="AN99" s="98"/>
      <c r="AO99" s="105"/>
      <c r="AP99" s="102"/>
      <c r="AQ99" s="102"/>
      <c r="AR99" s="207"/>
    </row>
    <row r="100" spans="1:44" ht="87.75" customHeight="1" x14ac:dyDescent="0.25">
      <c r="A100" s="156"/>
      <c r="B100" s="106"/>
      <c r="C100" s="105"/>
      <c r="D100" s="105"/>
      <c r="E100" s="105"/>
      <c r="F100" s="105" t="s">
        <v>53</v>
      </c>
      <c r="G100" s="43" t="s">
        <v>884</v>
      </c>
      <c r="H100" s="15">
        <v>43539</v>
      </c>
      <c r="I100" s="15">
        <v>43708</v>
      </c>
      <c r="J100" s="35" t="s">
        <v>54</v>
      </c>
      <c r="K100" s="108"/>
      <c r="L100" s="108"/>
      <c r="M100" s="105"/>
      <c r="N100" s="105"/>
      <c r="O100" s="98"/>
      <c r="P100" s="98"/>
      <c r="Q100" s="105"/>
      <c r="R100" s="102"/>
      <c r="S100" s="102"/>
      <c r="T100" s="106"/>
      <c r="U100" s="105"/>
      <c r="V100" s="105"/>
      <c r="W100" s="98"/>
      <c r="X100" s="98"/>
      <c r="Y100" s="105"/>
      <c r="Z100" s="102"/>
      <c r="AA100" s="102"/>
      <c r="AB100" s="106"/>
      <c r="AC100" s="105"/>
      <c r="AD100" s="105"/>
      <c r="AE100" s="98"/>
      <c r="AF100" s="98"/>
      <c r="AG100" s="105"/>
      <c r="AH100" s="102"/>
      <c r="AI100" s="102"/>
      <c r="AJ100" s="106"/>
      <c r="AK100" s="105"/>
      <c r="AL100" s="105"/>
      <c r="AM100" s="98"/>
      <c r="AN100" s="98"/>
      <c r="AO100" s="105"/>
      <c r="AP100" s="102"/>
      <c r="AQ100" s="102"/>
      <c r="AR100" s="207"/>
    </row>
    <row r="101" spans="1:44" ht="87.75" customHeight="1" x14ac:dyDescent="0.25">
      <c r="A101" s="156"/>
      <c r="B101" s="106"/>
      <c r="C101" s="105"/>
      <c r="D101" s="105"/>
      <c r="E101" s="105"/>
      <c r="F101" s="105"/>
      <c r="G101" s="43" t="s">
        <v>883</v>
      </c>
      <c r="H101" s="15">
        <v>43539</v>
      </c>
      <c r="I101" s="15">
        <v>43708</v>
      </c>
      <c r="J101" s="35" t="s">
        <v>54</v>
      </c>
      <c r="K101" s="108"/>
      <c r="L101" s="108"/>
      <c r="M101" s="105"/>
      <c r="N101" s="105"/>
      <c r="O101" s="98"/>
      <c r="P101" s="98"/>
      <c r="Q101" s="105"/>
      <c r="R101" s="102"/>
      <c r="S101" s="102"/>
      <c r="T101" s="106"/>
      <c r="U101" s="105"/>
      <c r="V101" s="105"/>
      <c r="W101" s="98"/>
      <c r="X101" s="98"/>
      <c r="Y101" s="105"/>
      <c r="Z101" s="102"/>
      <c r="AA101" s="102"/>
      <c r="AB101" s="106"/>
      <c r="AC101" s="105"/>
      <c r="AD101" s="105"/>
      <c r="AE101" s="98"/>
      <c r="AF101" s="98"/>
      <c r="AG101" s="105"/>
      <c r="AH101" s="102"/>
      <c r="AI101" s="102"/>
      <c r="AJ101" s="106"/>
      <c r="AK101" s="105"/>
      <c r="AL101" s="105"/>
      <c r="AM101" s="98"/>
      <c r="AN101" s="98"/>
      <c r="AO101" s="105"/>
      <c r="AP101" s="102"/>
      <c r="AQ101" s="102"/>
      <c r="AR101" s="207"/>
    </row>
    <row r="102" spans="1:44" ht="87.75" customHeight="1" x14ac:dyDescent="0.25">
      <c r="A102" s="156"/>
      <c r="B102" s="106"/>
      <c r="C102" s="105"/>
      <c r="D102" s="105"/>
      <c r="E102" s="105"/>
      <c r="F102" s="105"/>
      <c r="G102" s="43" t="s">
        <v>885</v>
      </c>
      <c r="H102" s="15">
        <v>43708</v>
      </c>
      <c r="I102" s="15">
        <v>43799</v>
      </c>
      <c r="J102" s="35" t="s">
        <v>54</v>
      </c>
      <c r="K102" s="108"/>
      <c r="L102" s="108"/>
      <c r="M102" s="105"/>
      <c r="N102" s="105"/>
      <c r="O102" s="98"/>
      <c r="P102" s="98"/>
      <c r="Q102" s="105"/>
      <c r="R102" s="102"/>
      <c r="S102" s="102"/>
      <c r="T102" s="106"/>
      <c r="U102" s="105"/>
      <c r="V102" s="105"/>
      <c r="W102" s="98"/>
      <c r="X102" s="98"/>
      <c r="Y102" s="105"/>
      <c r="Z102" s="102"/>
      <c r="AA102" s="102"/>
      <c r="AB102" s="106"/>
      <c r="AC102" s="105"/>
      <c r="AD102" s="105"/>
      <c r="AE102" s="98"/>
      <c r="AF102" s="98"/>
      <c r="AG102" s="105"/>
      <c r="AH102" s="102"/>
      <c r="AI102" s="102"/>
      <c r="AJ102" s="106"/>
      <c r="AK102" s="105"/>
      <c r="AL102" s="105"/>
      <c r="AM102" s="98"/>
      <c r="AN102" s="98"/>
      <c r="AO102" s="105"/>
      <c r="AP102" s="102"/>
      <c r="AQ102" s="102"/>
      <c r="AR102" s="207"/>
    </row>
    <row r="103" spans="1:44" ht="87.75" customHeight="1" x14ac:dyDescent="0.25">
      <c r="A103" s="156"/>
      <c r="B103" s="106"/>
      <c r="C103" s="105"/>
      <c r="D103" s="105"/>
      <c r="E103" s="105"/>
      <c r="F103" s="105"/>
      <c r="G103" s="43" t="s">
        <v>886</v>
      </c>
      <c r="H103" s="15">
        <v>43617</v>
      </c>
      <c r="I103" s="15">
        <v>43830</v>
      </c>
      <c r="J103" s="35" t="s">
        <v>54</v>
      </c>
      <c r="K103" s="108"/>
      <c r="L103" s="108"/>
      <c r="M103" s="105"/>
      <c r="N103" s="105"/>
      <c r="O103" s="98"/>
      <c r="P103" s="98"/>
      <c r="Q103" s="105"/>
      <c r="R103" s="102"/>
      <c r="S103" s="102"/>
      <c r="T103" s="106"/>
      <c r="U103" s="105"/>
      <c r="V103" s="105"/>
      <c r="W103" s="98"/>
      <c r="X103" s="98"/>
      <c r="Y103" s="105"/>
      <c r="Z103" s="102"/>
      <c r="AA103" s="102"/>
      <c r="AB103" s="106"/>
      <c r="AC103" s="105"/>
      <c r="AD103" s="105"/>
      <c r="AE103" s="98"/>
      <c r="AF103" s="98"/>
      <c r="AG103" s="105"/>
      <c r="AH103" s="102"/>
      <c r="AI103" s="102"/>
      <c r="AJ103" s="106"/>
      <c r="AK103" s="105"/>
      <c r="AL103" s="105"/>
      <c r="AM103" s="98"/>
      <c r="AN103" s="98"/>
      <c r="AO103" s="105"/>
      <c r="AP103" s="102"/>
      <c r="AQ103" s="102"/>
      <c r="AR103" s="208"/>
    </row>
    <row r="104" spans="1:44" x14ac:dyDescent="0.25">
      <c r="A104" s="92" t="s">
        <v>380</v>
      </c>
      <c r="B104" s="22" t="s">
        <v>380</v>
      </c>
      <c r="C104" s="7"/>
      <c r="D104" s="7" t="s">
        <v>380</v>
      </c>
      <c r="E104" s="7" t="s">
        <v>380</v>
      </c>
      <c r="F104" s="7" t="s">
        <v>380</v>
      </c>
      <c r="G104" s="45" t="s">
        <v>380</v>
      </c>
      <c r="H104" s="7" t="s">
        <v>380</v>
      </c>
      <c r="I104" s="7" t="s">
        <v>380</v>
      </c>
      <c r="J104" s="21" t="s">
        <v>380</v>
      </c>
      <c r="K104" s="29" t="s">
        <v>380</v>
      </c>
      <c r="L104" s="29" t="s">
        <v>380</v>
      </c>
      <c r="M104" s="7" t="s">
        <v>380</v>
      </c>
      <c r="N104" s="7" t="s">
        <v>380</v>
      </c>
      <c r="O104" s="7" t="s">
        <v>380</v>
      </c>
      <c r="P104" s="7" t="s">
        <v>380</v>
      </c>
      <c r="Q104" s="7" t="s">
        <v>380</v>
      </c>
      <c r="R104" s="7" t="s">
        <v>380</v>
      </c>
      <c r="S104" s="7" t="s">
        <v>380</v>
      </c>
      <c r="T104" s="22" t="s">
        <v>380</v>
      </c>
      <c r="U104" s="7" t="s">
        <v>380</v>
      </c>
      <c r="V104" s="7" t="s">
        <v>380</v>
      </c>
      <c r="W104" s="7" t="s">
        <v>380</v>
      </c>
      <c r="X104" s="7" t="s">
        <v>380</v>
      </c>
      <c r="Y104" s="22" t="s">
        <v>380</v>
      </c>
      <c r="Z104" s="81" t="s">
        <v>380</v>
      </c>
      <c r="AA104" s="81" t="s">
        <v>380</v>
      </c>
      <c r="AB104" s="22" t="s">
        <v>380</v>
      </c>
      <c r="AC104" s="7" t="s">
        <v>380</v>
      </c>
      <c r="AD104" s="7" t="s">
        <v>380</v>
      </c>
      <c r="AE104" s="7" t="s">
        <v>380</v>
      </c>
      <c r="AF104" s="71" t="s">
        <v>380</v>
      </c>
      <c r="AG104" s="7" t="s">
        <v>380</v>
      </c>
      <c r="AH104" s="81" t="s">
        <v>380</v>
      </c>
      <c r="AI104" s="81" t="s">
        <v>380</v>
      </c>
      <c r="AJ104" s="22" t="s">
        <v>380</v>
      </c>
      <c r="AK104" s="7" t="s">
        <v>380</v>
      </c>
      <c r="AL104" s="7" t="s">
        <v>380</v>
      </c>
      <c r="AM104" s="7" t="s">
        <v>380</v>
      </c>
      <c r="AN104" s="7" t="s">
        <v>380</v>
      </c>
      <c r="AO104" s="7" t="s">
        <v>380</v>
      </c>
      <c r="AP104" s="81" t="s">
        <v>380</v>
      </c>
      <c r="AQ104" s="81" t="s">
        <v>380</v>
      </c>
      <c r="AR104" s="82" t="s">
        <v>380</v>
      </c>
    </row>
    <row r="105" spans="1:44" ht="31.5" customHeight="1" x14ac:dyDescent="0.25">
      <c r="A105" s="156" t="s">
        <v>97</v>
      </c>
      <c r="B105" s="106" t="s">
        <v>132</v>
      </c>
      <c r="C105" s="105">
        <v>20</v>
      </c>
      <c r="D105" s="105" t="s">
        <v>996</v>
      </c>
      <c r="E105" s="105">
        <v>0</v>
      </c>
      <c r="F105" s="105" t="s">
        <v>50</v>
      </c>
      <c r="G105" s="43" t="s">
        <v>401</v>
      </c>
      <c r="H105" s="15">
        <v>43586</v>
      </c>
      <c r="I105" s="15">
        <v>43830</v>
      </c>
      <c r="J105" s="35" t="s">
        <v>131</v>
      </c>
      <c r="K105" s="108" t="s">
        <v>1273</v>
      </c>
      <c r="L105" s="108" t="s">
        <v>829</v>
      </c>
      <c r="M105" s="105" t="s">
        <v>463</v>
      </c>
      <c r="N105" s="105" t="s">
        <v>463</v>
      </c>
      <c r="O105" s="98">
        <f>IFERROR((1/1),"No aplica")</f>
        <v>1</v>
      </c>
      <c r="P105" s="98">
        <f>IFERROR((1/4),"No aplica")</f>
        <v>0.25</v>
      </c>
      <c r="Q105" s="105" t="s">
        <v>458</v>
      </c>
      <c r="R105" s="102" t="s">
        <v>464</v>
      </c>
      <c r="S105" s="102" t="s">
        <v>541</v>
      </c>
      <c r="T105" s="106" t="s">
        <v>829</v>
      </c>
      <c r="U105" s="105" t="s">
        <v>463</v>
      </c>
      <c r="V105" s="137" t="s">
        <v>463</v>
      </c>
      <c r="W105" s="98">
        <f>IFERROR((1/1),"No aplica")</f>
        <v>1</v>
      </c>
      <c r="X105" s="98">
        <f>IFERROR((2/4),"No aplica")</f>
        <v>0.5</v>
      </c>
      <c r="Y105" s="105" t="s">
        <v>458</v>
      </c>
      <c r="Z105" s="102" t="s">
        <v>619</v>
      </c>
      <c r="AA105" s="102" t="s">
        <v>620</v>
      </c>
      <c r="AB105" s="106" t="s">
        <v>829</v>
      </c>
      <c r="AC105" s="105" t="s">
        <v>463</v>
      </c>
      <c r="AD105" s="137" t="s">
        <v>463</v>
      </c>
      <c r="AE105" s="98">
        <f>IFERROR((1/1),"No aplica")</f>
        <v>1</v>
      </c>
      <c r="AF105" s="98">
        <f>IFERROR((3/4),"No aplica")</f>
        <v>0.75</v>
      </c>
      <c r="AG105" s="105" t="s">
        <v>458</v>
      </c>
      <c r="AH105" s="102" t="s">
        <v>1183</v>
      </c>
      <c r="AI105" s="102" t="s">
        <v>1184</v>
      </c>
      <c r="AJ105" s="106" t="s">
        <v>829</v>
      </c>
      <c r="AK105" s="105" t="s">
        <v>463</v>
      </c>
      <c r="AL105" s="105" t="s">
        <v>463</v>
      </c>
      <c r="AM105" s="98">
        <f>IFERROR((1/1),"No aplica")</f>
        <v>1</v>
      </c>
      <c r="AN105" s="98">
        <f>IFERROR((4/4),"No aplica")</f>
        <v>1</v>
      </c>
      <c r="AO105" s="105" t="s">
        <v>458</v>
      </c>
      <c r="AP105" s="102" t="s">
        <v>1509</v>
      </c>
      <c r="AQ105" s="102" t="s">
        <v>1510</v>
      </c>
      <c r="AR105" s="206" t="s">
        <v>1440</v>
      </c>
    </row>
    <row r="106" spans="1:44" ht="31.5" customHeight="1" x14ac:dyDescent="0.25">
      <c r="A106" s="156"/>
      <c r="B106" s="106"/>
      <c r="C106" s="105"/>
      <c r="D106" s="105"/>
      <c r="E106" s="105"/>
      <c r="F106" s="105"/>
      <c r="G106" s="43" t="s">
        <v>225</v>
      </c>
      <c r="H106" s="15">
        <v>43525</v>
      </c>
      <c r="I106" s="15">
        <v>43830</v>
      </c>
      <c r="J106" s="35" t="s">
        <v>131</v>
      </c>
      <c r="K106" s="108"/>
      <c r="L106" s="108"/>
      <c r="M106" s="105"/>
      <c r="N106" s="105"/>
      <c r="O106" s="98"/>
      <c r="P106" s="98"/>
      <c r="Q106" s="105"/>
      <c r="R106" s="102"/>
      <c r="S106" s="102"/>
      <c r="T106" s="106"/>
      <c r="U106" s="105"/>
      <c r="V106" s="138"/>
      <c r="W106" s="98"/>
      <c r="X106" s="98"/>
      <c r="Y106" s="105"/>
      <c r="Z106" s="102"/>
      <c r="AA106" s="102"/>
      <c r="AB106" s="106"/>
      <c r="AC106" s="105"/>
      <c r="AD106" s="138"/>
      <c r="AE106" s="98"/>
      <c r="AF106" s="98"/>
      <c r="AG106" s="105"/>
      <c r="AH106" s="102"/>
      <c r="AI106" s="102"/>
      <c r="AJ106" s="106"/>
      <c r="AK106" s="105"/>
      <c r="AL106" s="105"/>
      <c r="AM106" s="98"/>
      <c r="AN106" s="98"/>
      <c r="AO106" s="105"/>
      <c r="AP106" s="102"/>
      <c r="AQ106" s="102"/>
      <c r="AR106" s="207"/>
    </row>
    <row r="107" spans="1:44" ht="31.5" customHeight="1" x14ac:dyDescent="0.25">
      <c r="A107" s="156"/>
      <c r="B107" s="106"/>
      <c r="C107" s="105"/>
      <c r="D107" s="105"/>
      <c r="E107" s="105"/>
      <c r="F107" s="105"/>
      <c r="G107" s="43" t="s">
        <v>830</v>
      </c>
      <c r="H107" s="15">
        <v>43497</v>
      </c>
      <c r="I107" s="15">
        <v>43830</v>
      </c>
      <c r="J107" s="35" t="s">
        <v>131</v>
      </c>
      <c r="K107" s="108"/>
      <c r="L107" s="108"/>
      <c r="M107" s="105"/>
      <c r="N107" s="105"/>
      <c r="O107" s="98"/>
      <c r="P107" s="98"/>
      <c r="Q107" s="105"/>
      <c r="R107" s="102"/>
      <c r="S107" s="102"/>
      <c r="T107" s="106"/>
      <c r="U107" s="105"/>
      <c r="V107" s="138"/>
      <c r="W107" s="98"/>
      <c r="X107" s="98"/>
      <c r="Y107" s="105"/>
      <c r="Z107" s="102"/>
      <c r="AA107" s="102"/>
      <c r="AB107" s="106"/>
      <c r="AC107" s="105"/>
      <c r="AD107" s="138"/>
      <c r="AE107" s="98"/>
      <c r="AF107" s="98"/>
      <c r="AG107" s="105"/>
      <c r="AH107" s="102"/>
      <c r="AI107" s="102"/>
      <c r="AJ107" s="106"/>
      <c r="AK107" s="105"/>
      <c r="AL107" s="105"/>
      <c r="AM107" s="98"/>
      <c r="AN107" s="98"/>
      <c r="AO107" s="105"/>
      <c r="AP107" s="102"/>
      <c r="AQ107" s="102"/>
      <c r="AR107" s="207"/>
    </row>
    <row r="108" spans="1:44" ht="31.5" customHeight="1" x14ac:dyDescent="0.25">
      <c r="A108" s="156"/>
      <c r="B108" s="106"/>
      <c r="C108" s="105"/>
      <c r="D108" s="105"/>
      <c r="E108" s="105"/>
      <c r="F108" s="105"/>
      <c r="G108" s="43" t="s">
        <v>226</v>
      </c>
      <c r="H108" s="15">
        <v>43647</v>
      </c>
      <c r="I108" s="15">
        <v>43830</v>
      </c>
      <c r="J108" s="35" t="s">
        <v>131</v>
      </c>
      <c r="K108" s="108"/>
      <c r="L108" s="108"/>
      <c r="M108" s="105"/>
      <c r="N108" s="105"/>
      <c r="O108" s="98"/>
      <c r="P108" s="98"/>
      <c r="Q108" s="105"/>
      <c r="R108" s="102"/>
      <c r="S108" s="102"/>
      <c r="T108" s="106"/>
      <c r="U108" s="105"/>
      <c r="V108" s="139"/>
      <c r="W108" s="98"/>
      <c r="X108" s="98"/>
      <c r="Y108" s="105"/>
      <c r="Z108" s="102"/>
      <c r="AA108" s="102"/>
      <c r="AB108" s="106"/>
      <c r="AC108" s="105"/>
      <c r="AD108" s="139"/>
      <c r="AE108" s="98"/>
      <c r="AF108" s="98"/>
      <c r="AG108" s="105"/>
      <c r="AH108" s="102"/>
      <c r="AI108" s="102"/>
      <c r="AJ108" s="106"/>
      <c r="AK108" s="105"/>
      <c r="AL108" s="105"/>
      <c r="AM108" s="98"/>
      <c r="AN108" s="98"/>
      <c r="AO108" s="105"/>
      <c r="AP108" s="102"/>
      <c r="AQ108" s="102"/>
      <c r="AR108" s="208"/>
    </row>
    <row r="109" spans="1:44" ht="45" customHeight="1" x14ac:dyDescent="0.25">
      <c r="A109" s="156" t="s">
        <v>97</v>
      </c>
      <c r="B109" s="106" t="s">
        <v>402</v>
      </c>
      <c r="C109" s="105">
        <v>21</v>
      </c>
      <c r="D109" s="105" t="s">
        <v>995</v>
      </c>
      <c r="E109" s="105">
        <v>0</v>
      </c>
      <c r="F109" s="105" t="s">
        <v>405</v>
      </c>
      <c r="G109" s="43" t="s">
        <v>347</v>
      </c>
      <c r="H109" s="15">
        <v>43647</v>
      </c>
      <c r="I109" s="15">
        <v>43830</v>
      </c>
      <c r="J109" s="35" t="s">
        <v>131</v>
      </c>
      <c r="K109" s="108" t="s">
        <v>1273</v>
      </c>
      <c r="L109" s="108" t="s">
        <v>406</v>
      </c>
      <c r="M109" s="105" t="s">
        <v>624</v>
      </c>
      <c r="N109" s="137" t="s">
        <v>624</v>
      </c>
      <c r="O109" s="98">
        <f>IFERROR((1/1),"No aplica")</f>
        <v>1</v>
      </c>
      <c r="P109" s="98">
        <f>IFERROR((1/5),"No aplica")</f>
        <v>0.2</v>
      </c>
      <c r="Q109" s="105" t="s">
        <v>458</v>
      </c>
      <c r="R109" s="102" t="s">
        <v>465</v>
      </c>
      <c r="S109" s="102" t="s">
        <v>542</v>
      </c>
      <c r="T109" s="106" t="s">
        <v>625</v>
      </c>
      <c r="U109" s="137" t="s">
        <v>626</v>
      </c>
      <c r="V109" s="137" t="s">
        <v>626</v>
      </c>
      <c r="W109" s="98" t="str">
        <f>IFERROR((0/0),"No aplica")</f>
        <v>No aplica</v>
      </c>
      <c r="X109" s="98">
        <f>IFERROR((1/5),"No aplica")</f>
        <v>0.2</v>
      </c>
      <c r="Y109" s="105" t="s">
        <v>458</v>
      </c>
      <c r="Z109" s="102" t="s">
        <v>627</v>
      </c>
      <c r="AA109" s="102"/>
      <c r="AB109" s="106" t="s">
        <v>625</v>
      </c>
      <c r="AC109" s="137" t="s">
        <v>1206</v>
      </c>
      <c r="AD109" s="137" t="s">
        <v>624</v>
      </c>
      <c r="AE109" s="98">
        <f>IFERROR((1/2),"No aplica")</f>
        <v>0.5</v>
      </c>
      <c r="AF109" s="98">
        <f>IFERROR((2/5),"No aplica")</f>
        <v>0.4</v>
      </c>
      <c r="AG109" s="105" t="s">
        <v>531</v>
      </c>
      <c r="AH109" s="102" t="s">
        <v>1186</v>
      </c>
      <c r="AI109" s="126" t="s">
        <v>1185</v>
      </c>
      <c r="AJ109" s="106" t="s">
        <v>625</v>
      </c>
      <c r="AK109" s="105" t="s">
        <v>1206</v>
      </c>
      <c r="AL109" s="105" t="s">
        <v>1329</v>
      </c>
      <c r="AM109" s="98">
        <f>IFERROR((3/2),"No aplica")</f>
        <v>1.5</v>
      </c>
      <c r="AN109" s="98">
        <f>IFERROR((5/5),"No aplica")</f>
        <v>1</v>
      </c>
      <c r="AO109" s="105" t="s">
        <v>458</v>
      </c>
      <c r="AP109" s="102" t="s">
        <v>1511</v>
      </c>
      <c r="AQ109" s="102" t="s">
        <v>1439</v>
      </c>
      <c r="AR109" s="206" t="s">
        <v>1441</v>
      </c>
    </row>
    <row r="110" spans="1:44" ht="45" customHeight="1" x14ac:dyDescent="0.25">
      <c r="A110" s="156"/>
      <c r="B110" s="106"/>
      <c r="C110" s="105"/>
      <c r="D110" s="105"/>
      <c r="E110" s="105"/>
      <c r="F110" s="105"/>
      <c r="G110" s="43" t="s">
        <v>407</v>
      </c>
      <c r="H110" s="15">
        <v>43466</v>
      </c>
      <c r="I110" s="15">
        <v>43830</v>
      </c>
      <c r="J110" s="35" t="s">
        <v>131</v>
      </c>
      <c r="K110" s="108"/>
      <c r="L110" s="108"/>
      <c r="M110" s="105"/>
      <c r="N110" s="138"/>
      <c r="O110" s="98"/>
      <c r="P110" s="98"/>
      <c r="Q110" s="105"/>
      <c r="R110" s="102"/>
      <c r="S110" s="102"/>
      <c r="T110" s="106"/>
      <c r="U110" s="138"/>
      <c r="V110" s="138"/>
      <c r="W110" s="98"/>
      <c r="X110" s="98"/>
      <c r="Y110" s="105"/>
      <c r="Z110" s="102"/>
      <c r="AA110" s="102"/>
      <c r="AB110" s="106"/>
      <c r="AC110" s="138"/>
      <c r="AD110" s="138"/>
      <c r="AE110" s="98"/>
      <c r="AF110" s="98"/>
      <c r="AG110" s="105"/>
      <c r="AH110" s="102"/>
      <c r="AI110" s="196"/>
      <c r="AJ110" s="106"/>
      <c r="AK110" s="105"/>
      <c r="AL110" s="105"/>
      <c r="AM110" s="98"/>
      <c r="AN110" s="98"/>
      <c r="AO110" s="105"/>
      <c r="AP110" s="102"/>
      <c r="AQ110" s="102"/>
      <c r="AR110" s="207"/>
    </row>
    <row r="111" spans="1:44" ht="45" customHeight="1" x14ac:dyDescent="0.25">
      <c r="A111" s="156"/>
      <c r="B111" s="106"/>
      <c r="C111" s="105"/>
      <c r="D111" s="105"/>
      <c r="E111" s="105"/>
      <c r="F111" s="105"/>
      <c r="G111" s="43" t="s">
        <v>138</v>
      </c>
      <c r="H111" s="15">
        <v>43466</v>
      </c>
      <c r="I111" s="15">
        <v>43830</v>
      </c>
      <c r="J111" s="35" t="s">
        <v>131</v>
      </c>
      <c r="K111" s="108"/>
      <c r="L111" s="108"/>
      <c r="M111" s="105"/>
      <c r="N111" s="138"/>
      <c r="O111" s="98"/>
      <c r="P111" s="98"/>
      <c r="Q111" s="105"/>
      <c r="R111" s="102"/>
      <c r="S111" s="102"/>
      <c r="T111" s="106"/>
      <c r="U111" s="138"/>
      <c r="V111" s="138"/>
      <c r="W111" s="98"/>
      <c r="X111" s="98"/>
      <c r="Y111" s="105"/>
      <c r="Z111" s="102"/>
      <c r="AA111" s="102"/>
      <c r="AB111" s="106"/>
      <c r="AC111" s="138"/>
      <c r="AD111" s="138"/>
      <c r="AE111" s="98"/>
      <c r="AF111" s="98"/>
      <c r="AG111" s="105"/>
      <c r="AH111" s="102"/>
      <c r="AI111" s="196"/>
      <c r="AJ111" s="106"/>
      <c r="AK111" s="105"/>
      <c r="AL111" s="105"/>
      <c r="AM111" s="98"/>
      <c r="AN111" s="98"/>
      <c r="AO111" s="105"/>
      <c r="AP111" s="102"/>
      <c r="AQ111" s="102"/>
      <c r="AR111" s="207"/>
    </row>
    <row r="112" spans="1:44" ht="45" customHeight="1" x14ac:dyDescent="0.25">
      <c r="A112" s="156"/>
      <c r="B112" s="106"/>
      <c r="C112" s="105"/>
      <c r="D112" s="105"/>
      <c r="E112" s="105"/>
      <c r="F112" s="105"/>
      <c r="G112" s="43" t="s">
        <v>227</v>
      </c>
      <c r="H112" s="15">
        <v>43466</v>
      </c>
      <c r="I112" s="15">
        <v>43830</v>
      </c>
      <c r="J112" s="35" t="s">
        <v>131</v>
      </c>
      <c r="K112" s="108"/>
      <c r="L112" s="108"/>
      <c r="M112" s="105"/>
      <c r="N112" s="139"/>
      <c r="O112" s="98"/>
      <c r="P112" s="98"/>
      <c r="Q112" s="105"/>
      <c r="R112" s="102"/>
      <c r="S112" s="102"/>
      <c r="T112" s="106"/>
      <c r="U112" s="139"/>
      <c r="V112" s="139"/>
      <c r="W112" s="98"/>
      <c r="X112" s="98"/>
      <c r="Y112" s="105"/>
      <c r="Z112" s="102"/>
      <c r="AA112" s="102"/>
      <c r="AB112" s="106"/>
      <c r="AC112" s="139"/>
      <c r="AD112" s="139"/>
      <c r="AE112" s="98"/>
      <c r="AF112" s="98"/>
      <c r="AG112" s="105"/>
      <c r="AH112" s="102"/>
      <c r="AI112" s="127"/>
      <c r="AJ112" s="106"/>
      <c r="AK112" s="105"/>
      <c r="AL112" s="105"/>
      <c r="AM112" s="98"/>
      <c r="AN112" s="98"/>
      <c r="AO112" s="105"/>
      <c r="AP112" s="102"/>
      <c r="AQ112" s="102"/>
      <c r="AR112" s="208"/>
    </row>
    <row r="113" spans="1:44" x14ac:dyDescent="0.25">
      <c r="A113" s="92" t="s">
        <v>380</v>
      </c>
      <c r="B113" s="22" t="s">
        <v>380</v>
      </c>
      <c r="C113" s="7"/>
      <c r="D113" s="7" t="s">
        <v>380</v>
      </c>
      <c r="E113" s="7" t="s">
        <v>380</v>
      </c>
      <c r="F113" s="7" t="s">
        <v>380</v>
      </c>
      <c r="G113" s="45" t="s">
        <v>380</v>
      </c>
      <c r="H113" s="7" t="s">
        <v>380</v>
      </c>
      <c r="I113" s="7" t="s">
        <v>380</v>
      </c>
      <c r="J113" s="21" t="s">
        <v>380</v>
      </c>
      <c r="K113" s="29" t="s">
        <v>380</v>
      </c>
      <c r="L113" s="29" t="s">
        <v>380</v>
      </c>
      <c r="M113" s="7" t="s">
        <v>380</v>
      </c>
      <c r="N113" s="7" t="s">
        <v>380</v>
      </c>
      <c r="O113" s="7" t="s">
        <v>380</v>
      </c>
      <c r="P113" s="7" t="s">
        <v>380</v>
      </c>
      <c r="Q113" s="7" t="s">
        <v>380</v>
      </c>
      <c r="R113" s="7" t="s">
        <v>380</v>
      </c>
      <c r="S113" s="7" t="s">
        <v>380</v>
      </c>
      <c r="T113" s="22" t="s">
        <v>380</v>
      </c>
      <c r="U113" s="7" t="s">
        <v>380</v>
      </c>
      <c r="V113" s="7" t="s">
        <v>380</v>
      </c>
      <c r="W113" s="7" t="s">
        <v>380</v>
      </c>
      <c r="X113" s="7" t="s">
        <v>380</v>
      </c>
      <c r="Y113" s="22" t="s">
        <v>380</v>
      </c>
      <c r="Z113" s="81" t="s">
        <v>380</v>
      </c>
      <c r="AA113" s="81" t="s">
        <v>380</v>
      </c>
      <c r="AB113" s="22" t="s">
        <v>380</v>
      </c>
      <c r="AC113" s="7" t="s">
        <v>380</v>
      </c>
      <c r="AD113" s="7" t="s">
        <v>380</v>
      </c>
      <c r="AE113" s="7" t="s">
        <v>380</v>
      </c>
      <c r="AF113" s="71" t="s">
        <v>380</v>
      </c>
      <c r="AG113" s="7" t="s">
        <v>380</v>
      </c>
      <c r="AH113" s="81" t="s">
        <v>380</v>
      </c>
      <c r="AI113" s="81" t="s">
        <v>380</v>
      </c>
      <c r="AJ113" s="22" t="s">
        <v>380</v>
      </c>
      <c r="AK113" s="7" t="s">
        <v>380</v>
      </c>
      <c r="AL113" s="7" t="s">
        <v>380</v>
      </c>
      <c r="AM113" s="7" t="s">
        <v>380</v>
      </c>
      <c r="AN113" s="7" t="s">
        <v>380</v>
      </c>
      <c r="AO113" s="7" t="s">
        <v>380</v>
      </c>
      <c r="AP113" s="81" t="s">
        <v>380</v>
      </c>
      <c r="AQ113" s="81" t="s">
        <v>380</v>
      </c>
      <c r="AR113" s="82" t="s">
        <v>380</v>
      </c>
    </row>
    <row r="114" spans="1:44" ht="47.25" x14ac:dyDescent="0.25">
      <c r="A114" s="156" t="s">
        <v>97</v>
      </c>
      <c r="B114" s="106" t="s">
        <v>408</v>
      </c>
      <c r="C114" s="105">
        <v>22</v>
      </c>
      <c r="D114" s="105" t="s">
        <v>994</v>
      </c>
      <c r="E114" s="105">
        <v>0</v>
      </c>
      <c r="F114" s="105" t="s">
        <v>194</v>
      </c>
      <c r="G114" s="43" t="s">
        <v>831</v>
      </c>
      <c r="H114" s="15">
        <v>43479</v>
      </c>
      <c r="I114" s="15">
        <v>43524</v>
      </c>
      <c r="J114" s="35" t="s">
        <v>135</v>
      </c>
      <c r="K114" s="108" t="s">
        <v>314</v>
      </c>
      <c r="L114" s="108" t="s">
        <v>334</v>
      </c>
      <c r="M114" s="105" t="s">
        <v>496</v>
      </c>
      <c r="N114" s="105" t="s">
        <v>496</v>
      </c>
      <c r="O114" s="98">
        <f>IFERROR((40%/40%),"No aplica")</f>
        <v>1</v>
      </c>
      <c r="P114" s="98">
        <f>IFERROR((40%/100%),"No aplica")</f>
        <v>0.4</v>
      </c>
      <c r="Q114" s="105" t="s">
        <v>458</v>
      </c>
      <c r="R114" s="102" t="s">
        <v>497</v>
      </c>
      <c r="S114" s="102" t="s">
        <v>543</v>
      </c>
      <c r="T114" s="106" t="s">
        <v>334</v>
      </c>
      <c r="U114" s="105" t="s">
        <v>496</v>
      </c>
      <c r="V114" s="105" t="s">
        <v>496</v>
      </c>
      <c r="W114" s="98">
        <f>IFERROR((40%/40%),"No aplica")</f>
        <v>1</v>
      </c>
      <c r="X114" s="98">
        <f>IFERROR((80%/100%),"No aplica")</f>
        <v>0.8</v>
      </c>
      <c r="Y114" s="105" t="s">
        <v>458</v>
      </c>
      <c r="Z114" s="102" t="s">
        <v>981</v>
      </c>
      <c r="AA114" s="102" t="s">
        <v>882</v>
      </c>
      <c r="AB114" s="106" t="s">
        <v>334</v>
      </c>
      <c r="AC114" s="105" t="s">
        <v>1214</v>
      </c>
      <c r="AD114" s="105" t="s">
        <v>1214</v>
      </c>
      <c r="AE114" s="98">
        <f>IFERROR((20%/20%),"No aplica")</f>
        <v>1</v>
      </c>
      <c r="AF114" s="98">
        <f>IFERROR((40%+40%+20%/100%),"No aplica")</f>
        <v>1</v>
      </c>
      <c r="AG114" s="105" t="s">
        <v>458</v>
      </c>
      <c r="AH114" s="102" t="s">
        <v>1215</v>
      </c>
      <c r="AI114" s="102" t="s">
        <v>1216</v>
      </c>
      <c r="AJ114" s="106" t="s">
        <v>334</v>
      </c>
      <c r="AK114" s="105" t="s">
        <v>1560</v>
      </c>
      <c r="AL114" s="105" t="s">
        <v>1560</v>
      </c>
      <c r="AM114" s="98" t="str">
        <f>IFERROR((0%/0%),"No aplica")</f>
        <v>No aplica</v>
      </c>
      <c r="AN114" s="98">
        <f>IFERROR((40%+40%+20%/100%),"No aplica")</f>
        <v>1</v>
      </c>
      <c r="AO114" s="105" t="s">
        <v>458</v>
      </c>
      <c r="AP114" s="102" t="s">
        <v>1330</v>
      </c>
      <c r="AQ114" s="102" t="s">
        <v>1331</v>
      </c>
      <c r="AR114" s="206" t="s">
        <v>1431</v>
      </c>
    </row>
    <row r="115" spans="1:44" x14ac:dyDescent="0.25">
      <c r="A115" s="156"/>
      <c r="B115" s="106"/>
      <c r="C115" s="105"/>
      <c r="D115" s="105"/>
      <c r="E115" s="105"/>
      <c r="F115" s="105"/>
      <c r="G115" s="43" t="s">
        <v>136</v>
      </c>
      <c r="H115" s="15">
        <v>43525</v>
      </c>
      <c r="I115" s="15">
        <v>43554</v>
      </c>
      <c r="J115" s="35" t="s">
        <v>135</v>
      </c>
      <c r="K115" s="108"/>
      <c r="L115" s="108"/>
      <c r="M115" s="105"/>
      <c r="N115" s="105"/>
      <c r="O115" s="98"/>
      <c r="P115" s="98"/>
      <c r="Q115" s="105"/>
      <c r="R115" s="102"/>
      <c r="S115" s="102"/>
      <c r="T115" s="106"/>
      <c r="U115" s="105"/>
      <c r="V115" s="105"/>
      <c r="W115" s="98"/>
      <c r="X115" s="98"/>
      <c r="Y115" s="105"/>
      <c r="Z115" s="102"/>
      <c r="AA115" s="102"/>
      <c r="AB115" s="106"/>
      <c r="AC115" s="105"/>
      <c r="AD115" s="105"/>
      <c r="AE115" s="98"/>
      <c r="AF115" s="98"/>
      <c r="AG115" s="105"/>
      <c r="AH115" s="102"/>
      <c r="AI115" s="102"/>
      <c r="AJ115" s="106"/>
      <c r="AK115" s="105"/>
      <c r="AL115" s="105"/>
      <c r="AM115" s="98"/>
      <c r="AN115" s="98"/>
      <c r="AO115" s="105"/>
      <c r="AP115" s="102"/>
      <c r="AQ115" s="102"/>
      <c r="AR115" s="207"/>
    </row>
    <row r="116" spans="1:44" ht="31.5" x14ac:dyDescent="0.25">
      <c r="A116" s="156"/>
      <c r="B116" s="106"/>
      <c r="C116" s="105"/>
      <c r="D116" s="105"/>
      <c r="E116" s="105"/>
      <c r="F116" s="105"/>
      <c r="G116" s="43" t="s">
        <v>832</v>
      </c>
      <c r="H116" s="15">
        <v>43525</v>
      </c>
      <c r="I116" s="15">
        <v>43554</v>
      </c>
      <c r="J116" s="35" t="s">
        <v>135</v>
      </c>
      <c r="K116" s="108"/>
      <c r="L116" s="108"/>
      <c r="M116" s="105"/>
      <c r="N116" s="105"/>
      <c r="O116" s="98"/>
      <c r="P116" s="98"/>
      <c r="Q116" s="105"/>
      <c r="R116" s="102"/>
      <c r="S116" s="102"/>
      <c r="T116" s="106"/>
      <c r="U116" s="105"/>
      <c r="V116" s="105"/>
      <c r="W116" s="98"/>
      <c r="X116" s="98"/>
      <c r="Y116" s="105"/>
      <c r="Z116" s="102"/>
      <c r="AA116" s="102"/>
      <c r="AB116" s="106"/>
      <c r="AC116" s="105"/>
      <c r="AD116" s="105"/>
      <c r="AE116" s="98"/>
      <c r="AF116" s="98"/>
      <c r="AG116" s="105"/>
      <c r="AH116" s="102"/>
      <c r="AI116" s="102"/>
      <c r="AJ116" s="106"/>
      <c r="AK116" s="105"/>
      <c r="AL116" s="105"/>
      <c r="AM116" s="98"/>
      <c r="AN116" s="98"/>
      <c r="AO116" s="105"/>
      <c r="AP116" s="102"/>
      <c r="AQ116" s="102"/>
      <c r="AR116" s="207"/>
    </row>
    <row r="117" spans="1:44" ht="31.5" x14ac:dyDescent="0.25">
      <c r="A117" s="156"/>
      <c r="B117" s="106"/>
      <c r="C117" s="105"/>
      <c r="D117" s="105"/>
      <c r="E117" s="105"/>
      <c r="F117" s="105"/>
      <c r="G117" s="43" t="s">
        <v>133</v>
      </c>
      <c r="H117" s="15">
        <v>43586</v>
      </c>
      <c r="I117" s="15">
        <v>43615</v>
      </c>
      <c r="J117" s="35" t="s">
        <v>135</v>
      </c>
      <c r="K117" s="108"/>
      <c r="L117" s="108"/>
      <c r="M117" s="105"/>
      <c r="N117" s="105"/>
      <c r="O117" s="98"/>
      <c r="P117" s="98"/>
      <c r="Q117" s="105"/>
      <c r="R117" s="102"/>
      <c r="S117" s="102"/>
      <c r="T117" s="106"/>
      <c r="U117" s="105"/>
      <c r="V117" s="105"/>
      <c r="W117" s="98"/>
      <c r="X117" s="98"/>
      <c r="Y117" s="105"/>
      <c r="Z117" s="102"/>
      <c r="AA117" s="102"/>
      <c r="AB117" s="106"/>
      <c r="AC117" s="105"/>
      <c r="AD117" s="105"/>
      <c r="AE117" s="98"/>
      <c r="AF117" s="98"/>
      <c r="AG117" s="105"/>
      <c r="AH117" s="102"/>
      <c r="AI117" s="102"/>
      <c r="AJ117" s="106"/>
      <c r="AK117" s="105"/>
      <c r="AL117" s="105"/>
      <c r="AM117" s="98"/>
      <c r="AN117" s="98"/>
      <c r="AO117" s="105"/>
      <c r="AP117" s="102"/>
      <c r="AQ117" s="102"/>
      <c r="AR117" s="207"/>
    </row>
    <row r="118" spans="1:44" ht="31.5" x14ac:dyDescent="0.25">
      <c r="A118" s="156"/>
      <c r="B118" s="106"/>
      <c r="C118" s="105"/>
      <c r="D118" s="105"/>
      <c r="E118" s="105"/>
      <c r="F118" s="105"/>
      <c r="G118" s="43" t="s">
        <v>134</v>
      </c>
      <c r="H118" s="15">
        <v>43586</v>
      </c>
      <c r="I118" s="15">
        <v>43615</v>
      </c>
      <c r="J118" s="35" t="s">
        <v>135</v>
      </c>
      <c r="K118" s="108"/>
      <c r="L118" s="108"/>
      <c r="M118" s="105"/>
      <c r="N118" s="105"/>
      <c r="O118" s="98"/>
      <c r="P118" s="98"/>
      <c r="Q118" s="105"/>
      <c r="R118" s="102"/>
      <c r="S118" s="102"/>
      <c r="T118" s="106"/>
      <c r="U118" s="105"/>
      <c r="V118" s="105"/>
      <c r="W118" s="98"/>
      <c r="X118" s="98"/>
      <c r="Y118" s="105"/>
      <c r="Z118" s="102"/>
      <c r="AA118" s="102"/>
      <c r="AB118" s="106"/>
      <c r="AC118" s="105"/>
      <c r="AD118" s="105"/>
      <c r="AE118" s="98"/>
      <c r="AF118" s="98"/>
      <c r="AG118" s="105"/>
      <c r="AH118" s="102"/>
      <c r="AI118" s="102"/>
      <c r="AJ118" s="106"/>
      <c r="AK118" s="105"/>
      <c r="AL118" s="105"/>
      <c r="AM118" s="98"/>
      <c r="AN118" s="98"/>
      <c r="AO118" s="105"/>
      <c r="AP118" s="102"/>
      <c r="AQ118" s="102"/>
      <c r="AR118" s="207"/>
    </row>
    <row r="119" spans="1:44" ht="31.5" x14ac:dyDescent="0.25">
      <c r="A119" s="156"/>
      <c r="B119" s="106"/>
      <c r="C119" s="105"/>
      <c r="D119" s="105"/>
      <c r="E119" s="105"/>
      <c r="F119" s="105"/>
      <c r="G119" s="44" t="s">
        <v>137</v>
      </c>
      <c r="H119" s="15">
        <v>43617</v>
      </c>
      <c r="I119" s="15">
        <v>43646</v>
      </c>
      <c r="J119" s="35" t="s">
        <v>135</v>
      </c>
      <c r="K119" s="108"/>
      <c r="L119" s="108"/>
      <c r="M119" s="105"/>
      <c r="N119" s="105"/>
      <c r="O119" s="98"/>
      <c r="P119" s="98"/>
      <c r="Q119" s="105"/>
      <c r="R119" s="102"/>
      <c r="S119" s="102"/>
      <c r="T119" s="106"/>
      <c r="U119" s="105"/>
      <c r="V119" s="105"/>
      <c r="W119" s="98"/>
      <c r="X119" s="98"/>
      <c r="Y119" s="105"/>
      <c r="Z119" s="102"/>
      <c r="AA119" s="102"/>
      <c r="AB119" s="106"/>
      <c r="AC119" s="105"/>
      <c r="AD119" s="105"/>
      <c r="AE119" s="98"/>
      <c r="AF119" s="98"/>
      <c r="AG119" s="105"/>
      <c r="AH119" s="102"/>
      <c r="AI119" s="102"/>
      <c r="AJ119" s="106"/>
      <c r="AK119" s="105"/>
      <c r="AL119" s="105"/>
      <c r="AM119" s="98"/>
      <c r="AN119" s="98"/>
      <c r="AO119" s="105"/>
      <c r="AP119" s="102"/>
      <c r="AQ119" s="102"/>
      <c r="AR119" s="207"/>
    </row>
    <row r="120" spans="1:44" x14ac:dyDescent="0.25">
      <c r="A120" s="156"/>
      <c r="B120" s="106"/>
      <c r="C120" s="105"/>
      <c r="D120" s="105"/>
      <c r="E120" s="105"/>
      <c r="F120" s="105"/>
      <c r="G120" s="44" t="s">
        <v>1032</v>
      </c>
      <c r="H120" s="15">
        <v>43479</v>
      </c>
      <c r="I120" s="15">
        <v>43646</v>
      </c>
      <c r="J120" s="97" t="s">
        <v>135</v>
      </c>
      <c r="K120" s="108"/>
      <c r="L120" s="108"/>
      <c r="M120" s="105"/>
      <c r="N120" s="105"/>
      <c r="O120" s="98"/>
      <c r="P120" s="98"/>
      <c r="Q120" s="105"/>
      <c r="R120" s="102"/>
      <c r="S120" s="102"/>
      <c r="T120" s="106"/>
      <c r="U120" s="105"/>
      <c r="V120" s="105"/>
      <c r="W120" s="98"/>
      <c r="X120" s="98"/>
      <c r="Y120" s="105"/>
      <c r="Z120" s="102"/>
      <c r="AA120" s="102"/>
      <c r="AB120" s="106"/>
      <c r="AC120" s="105"/>
      <c r="AD120" s="105"/>
      <c r="AE120" s="98"/>
      <c r="AF120" s="98"/>
      <c r="AG120" s="105"/>
      <c r="AH120" s="102"/>
      <c r="AI120" s="102"/>
      <c r="AJ120" s="106"/>
      <c r="AK120" s="105"/>
      <c r="AL120" s="105"/>
      <c r="AM120" s="98"/>
      <c r="AN120" s="98"/>
      <c r="AO120" s="105"/>
      <c r="AP120" s="102"/>
      <c r="AQ120" s="102"/>
      <c r="AR120" s="207"/>
    </row>
    <row r="121" spans="1:44" ht="31.5" x14ac:dyDescent="0.25">
      <c r="A121" s="156"/>
      <c r="B121" s="106"/>
      <c r="C121" s="105"/>
      <c r="D121" s="105"/>
      <c r="E121" s="105"/>
      <c r="F121" s="105"/>
      <c r="G121" s="44" t="s">
        <v>1033</v>
      </c>
      <c r="H121" s="15">
        <v>43617</v>
      </c>
      <c r="I121" s="15">
        <v>43708</v>
      </c>
      <c r="J121" s="97" t="s">
        <v>135</v>
      </c>
      <c r="K121" s="108"/>
      <c r="L121" s="108"/>
      <c r="M121" s="105"/>
      <c r="N121" s="105"/>
      <c r="O121" s="98"/>
      <c r="P121" s="98"/>
      <c r="Q121" s="105"/>
      <c r="R121" s="102"/>
      <c r="S121" s="102"/>
      <c r="T121" s="106"/>
      <c r="U121" s="105"/>
      <c r="V121" s="105"/>
      <c r="W121" s="98"/>
      <c r="X121" s="98"/>
      <c r="Y121" s="105"/>
      <c r="Z121" s="102"/>
      <c r="AA121" s="102"/>
      <c r="AB121" s="106"/>
      <c r="AC121" s="105"/>
      <c r="AD121" s="105"/>
      <c r="AE121" s="98"/>
      <c r="AF121" s="98"/>
      <c r="AG121" s="105"/>
      <c r="AH121" s="102"/>
      <c r="AI121" s="102"/>
      <c r="AJ121" s="106"/>
      <c r="AK121" s="105"/>
      <c r="AL121" s="105"/>
      <c r="AM121" s="98"/>
      <c r="AN121" s="98"/>
      <c r="AO121" s="105"/>
      <c r="AP121" s="102"/>
      <c r="AQ121" s="102"/>
      <c r="AR121" s="207"/>
    </row>
    <row r="122" spans="1:44" ht="31.5" x14ac:dyDescent="0.25">
      <c r="A122" s="156"/>
      <c r="B122" s="106"/>
      <c r="C122" s="105"/>
      <c r="D122" s="105"/>
      <c r="E122" s="105"/>
      <c r="F122" s="105"/>
      <c r="G122" s="44" t="s">
        <v>195</v>
      </c>
      <c r="H122" s="15">
        <v>43709</v>
      </c>
      <c r="I122" s="15">
        <v>43738</v>
      </c>
      <c r="J122" s="35" t="s">
        <v>135</v>
      </c>
      <c r="K122" s="108"/>
      <c r="L122" s="108"/>
      <c r="M122" s="105"/>
      <c r="N122" s="105"/>
      <c r="O122" s="98"/>
      <c r="P122" s="98"/>
      <c r="Q122" s="105"/>
      <c r="R122" s="102"/>
      <c r="S122" s="102"/>
      <c r="T122" s="106"/>
      <c r="U122" s="105"/>
      <c r="V122" s="105"/>
      <c r="W122" s="98"/>
      <c r="X122" s="98"/>
      <c r="Y122" s="105"/>
      <c r="Z122" s="102"/>
      <c r="AA122" s="102"/>
      <c r="AB122" s="106"/>
      <c r="AC122" s="105"/>
      <c r="AD122" s="105"/>
      <c r="AE122" s="98"/>
      <c r="AF122" s="98"/>
      <c r="AG122" s="105"/>
      <c r="AH122" s="102"/>
      <c r="AI122" s="102"/>
      <c r="AJ122" s="106"/>
      <c r="AK122" s="105"/>
      <c r="AL122" s="105"/>
      <c r="AM122" s="98"/>
      <c r="AN122" s="98"/>
      <c r="AO122" s="105"/>
      <c r="AP122" s="102"/>
      <c r="AQ122" s="102"/>
      <c r="AR122" s="207"/>
    </row>
    <row r="123" spans="1:44" ht="31.5" x14ac:dyDescent="0.25">
      <c r="A123" s="156"/>
      <c r="B123" s="106"/>
      <c r="C123" s="105"/>
      <c r="D123" s="105"/>
      <c r="E123" s="105"/>
      <c r="F123" s="105"/>
      <c r="G123" s="44" t="s">
        <v>442</v>
      </c>
      <c r="H123" s="15">
        <v>43739</v>
      </c>
      <c r="I123" s="15">
        <v>43829</v>
      </c>
      <c r="J123" s="35" t="s">
        <v>135</v>
      </c>
      <c r="K123" s="108"/>
      <c r="L123" s="108"/>
      <c r="M123" s="105"/>
      <c r="N123" s="105"/>
      <c r="O123" s="98"/>
      <c r="P123" s="98"/>
      <c r="Q123" s="105"/>
      <c r="R123" s="102"/>
      <c r="S123" s="102"/>
      <c r="T123" s="106"/>
      <c r="U123" s="105"/>
      <c r="V123" s="105"/>
      <c r="W123" s="98"/>
      <c r="X123" s="98"/>
      <c r="Y123" s="105"/>
      <c r="Z123" s="102"/>
      <c r="AA123" s="102"/>
      <c r="AB123" s="106"/>
      <c r="AC123" s="105"/>
      <c r="AD123" s="105"/>
      <c r="AE123" s="98"/>
      <c r="AF123" s="98"/>
      <c r="AG123" s="105"/>
      <c r="AH123" s="102"/>
      <c r="AI123" s="102"/>
      <c r="AJ123" s="106"/>
      <c r="AK123" s="105"/>
      <c r="AL123" s="105"/>
      <c r="AM123" s="98"/>
      <c r="AN123" s="98"/>
      <c r="AO123" s="105"/>
      <c r="AP123" s="102"/>
      <c r="AQ123" s="102"/>
      <c r="AR123" s="208"/>
    </row>
    <row r="124" spans="1:44" x14ac:dyDescent="0.25">
      <c r="A124" s="92" t="s">
        <v>380</v>
      </c>
      <c r="B124" s="22" t="s">
        <v>380</v>
      </c>
      <c r="C124" s="7"/>
      <c r="D124" s="7" t="s">
        <v>380</v>
      </c>
      <c r="E124" s="7" t="s">
        <v>380</v>
      </c>
      <c r="F124" s="7" t="s">
        <v>380</v>
      </c>
      <c r="G124" s="45" t="s">
        <v>380</v>
      </c>
      <c r="H124" s="7" t="s">
        <v>380</v>
      </c>
      <c r="I124" s="7" t="s">
        <v>380</v>
      </c>
      <c r="J124" s="21" t="s">
        <v>380</v>
      </c>
      <c r="K124" s="29" t="s">
        <v>380</v>
      </c>
      <c r="L124" s="29" t="s">
        <v>380</v>
      </c>
      <c r="M124" s="7" t="s">
        <v>380</v>
      </c>
      <c r="N124" s="7" t="s">
        <v>380</v>
      </c>
      <c r="O124" s="7" t="s">
        <v>380</v>
      </c>
      <c r="P124" s="7" t="s">
        <v>380</v>
      </c>
      <c r="Q124" s="7" t="s">
        <v>380</v>
      </c>
      <c r="R124" s="7" t="s">
        <v>380</v>
      </c>
      <c r="S124" s="7" t="s">
        <v>380</v>
      </c>
      <c r="T124" s="22" t="s">
        <v>380</v>
      </c>
      <c r="U124" s="7" t="s">
        <v>380</v>
      </c>
      <c r="V124" s="7" t="s">
        <v>380</v>
      </c>
      <c r="W124" s="7" t="s">
        <v>380</v>
      </c>
      <c r="X124" s="7" t="s">
        <v>380</v>
      </c>
      <c r="Y124" s="22" t="s">
        <v>380</v>
      </c>
      <c r="Z124" s="81" t="s">
        <v>380</v>
      </c>
      <c r="AA124" s="81" t="s">
        <v>380</v>
      </c>
      <c r="AB124" s="22" t="s">
        <v>380</v>
      </c>
      <c r="AC124" s="7" t="s">
        <v>380</v>
      </c>
      <c r="AD124" s="7" t="s">
        <v>380</v>
      </c>
      <c r="AE124" s="7" t="s">
        <v>380</v>
      </c>
      <c r="AF124" s="71" t="s">
        <v>380</v>
      </c>
      <c r="AG124" s="7" t="s">
        <v>380</v>
      </c>
      <c r="AH124" s="81" t="s">
        <v>380</v>
      </c>
      <c r="AI124" s="81" t="s">
        <v>380</v>
      </c>
      <c r="AJ124" s="22" t="s">
        <v>380</v>
      </c>
      <c r="AK124" s="7" t="s">
        <v>380</v>
      </c>
      <c r="AL124" s="7" t="s">
        <v>380</v>
      </c>
      <c r="AM124" s="7" t="s">
        <v>380</v>
      </c>
      <c r="AN124" s="7" t="s">
        <v>380</v>
      </c>
      <c r="AO124" s="7" t="s">
        <v>380</v>
      </c>
      <c r="AP124" s="81" t="s">
        <v>380</v>
      </c>
      <c r="AQ124" s="81" t="s">
        <v>380</v>
      </c>
      <c r="AR124" s="82" t="s">
        <v>380</v>
      </c>
    </row>
    <row r="125" spans="1:44" ht="31.5" x14ac:dyDescent="0.25">
      <c r="A125" s="156" t="s">
        <v>96</v>
      </c>
      <c r="B125" s="106" t="s">
        <v>260</v>
      </c>
      <c r="C125" s="105">
        <v>23</v>
      </c>
      <c r="D125" s="105" t="s">
        <v>1010</v>
      </c>
      <c r="E125" s="105">
        <v>0</v>
      </c>
      <c r="F125" s="105" t="s">
        <v>833</v>
      </c>
      <c r="G125" s="43" t="s">
        <v>895</v>
      </c>
      <c r="H125" s="15">
        <v>43480</v>
      </c>
      <c r="I125" s="15">
        <v>43511</v>
      </c>
      <c r="J125" s="35" t="s">
        <v>590</v>
      </c>
      <c r="K125" s="108" t="s">
        <v>315</v>
      </c>
      <c r="L125" s="108" t="s">
        <v>738</v>
      </c>
      <c r="M125" s="105" t="s">
        <v>894</v>
      </c>
      <c r="N125" s="105" t="s">
        <v>894</v>
      </c>
      <c r="O125" s="98">
        <f>IFERROR((1/1),"No aplica")</f>
        <v>1</v>
      </c>
      <c r="P125" s="98">
        <f>IFERROR((1/6),"No aplica")</f>
        <v>0.16666666666666666</v>
      </c>
      <c r="Q125" s="105" t="s">
        <v>458</v>
      </c>
      <c r="R125" s="102" t="s">
        <v>486</v>
      </c>
      <c r="S125" s="102" t="s">
        <v>607</v>
      </c>
      <c r="T125" s="106" t="s">
        <v>738</v>
      </c>
      <c r="U125" s="105" t="s">
        <v>894</v>
      </c>
      <c r="V125" s="105" t="s">
        <v>894</v>
      </c>
      <c r="W125" s="98">
        <f>IFERROR((1/1),"No aplica")</f>
        <v>1</v>
      </c>
      <c r="X125" s="98">
        <f>IFERROR((2/6),"No aplica")</f>
        <v>0.33333333333333331</v>
      </c>
      <c r="Y125" s="105" t="s">
        <v>458</v>
      </c>
      <c r="Z125" s="102" t="s">
        <v>940</v>
      </c>
      <c r="AA125" s="102" t="s">
        <v>939</v>
      </c>
      <c r="AB125" s="106" t="s">
        <v>738</v>
      </c>
      <c r="AC125" s="105" t="s">
        <v>1217</v>
      </c>
      <c r="AD125" s="105" t="s">
        <v>1217</v>
      </c>
      <c r="AE125" s="98">
        <f>IFERROR((2/2),"No aplica")</f>
        <v>1</v>
      </c>
      <c r="AF125" s="98">
        <f>IFERROR((4/6),"No aplica")</f>
        <v>0.66666666666666663</v>
      </c>
      <c r="AG125" s="105" t="s">
        <v>458</v>
      </c>
      <c r="AH125" s="102" t="s">
        <v>1218</v>
      </c>
      <c r="AI125" s="102" t="s">
        <v>1219</v>
      </c>
      <c r="AJ125" s="106" t="s">
        <v>738</v>
      </c>
      <c r="AK125" s="105" t="s">
        <v>1217</v>
      </c>
      <c r="AL125" s="105" t="s">
        <v>1217</v>
      </c>
      <c r="AM125" s="98">
        <f>IFERROR((2/2),"No aplica")</f>
        <v>1</v>
      </c>
      <c r="AN125" s="98">
        <f>IFERROR((6/6),"No aplica")</f>
        <v>1</v>
      </c>
      <c r="AO125" s="105" t="s">
        <v>458</v>
      </c>
      <c r="AP125" s="102" t="s">
        <v>1332</v>
      </c>
      <c r="AQ125" s="102" t="s">
        <v>1495</v>
      </c>
      <c r="AR125" s="206" t="s">
        <v>1469</v>
      </c>
    </row>
    <row r="126" spans="1:44" ht="31.5" x14ac:dyDescent="0.25">
      <c r="A126" s="156"/>
      <c r="B126" s="106"/>
      <c r="C126" s="105"/>
      <c r="D126" s="105"/>
      <c r="E126" s="105"/>
      <c r="F126" s="105"/>
      <c r="G126" s="43" t="s">
        <v>896</v>
      </c>
      <c r="H126" s="15">
        <v>43480</v>
      </c>
      <c r="I126" s="15">
        <v>43539</v>
      </c>
      <c r="J126" s="35" t="s">
        <v>590</v>
      </c>
      <c r="K126" s="108"/>
      <c r="L126" s="108"/>
      <c r="M126" s="105"/>
      <c r="N126" s="105"/>
      <c r="O126" s="98"/>
      <c r="P126" s="98"/>
      <c r="Q126" s="105"/>
      <c r="R126" s="102"/>
      <c r="S126" s="102"/>
      <c r="T126" s="106"/>
      <c r="U126" s="105"/>
      <c r="V126" s="105"/>
      <c r="W126" s="98"/>
      <c r="X126" s="98"/>
      <c r="Y126" s="105"/>
      <c r="Z126" s="102"/>
      <c r="AA126" s="102"/>
      <c r="AB126" s="106"/>
      <c r="AC126" s="105"/>
      <c r="AD126" s="105"/>
      <c r="AE126" s="98"/>
      <c r="AF126" s="98"/>
      <c r="AG126" s="105"/>
      <c r="AH126" s="102"/>
      <c r="AI126" s="102"/>
      <c r="AJ126" s="106"/>
      <c r="AK126" s="105"/>
      <c r="AL126" s="105"/>
      <c r="AM126" s="98"/>
      <c r="AN126" s="98"/>
      <c r="AO126" s="105"/>
      <c r="AP126" s="102"/>
      <c r="AQ126" s="102"/>
      <c r="AR126" s="207"/>
    </row>
    <row r="127" spans="1:44" ht="31.5" x14ac:dyDescent="0.25">
      <c r="A127" s="156"/>
      <c r="B127" s="106"/>
      <c r="C127" s="105"/>
      <c r="D127" s="105"/>
      <c r="E127" s="105"/>
      <c r="F127" s="105"/>
      <c r="G127" s="43" t="s">
        <v>897</v>
      </c>
      <c r="H127" s="15">
        <v>43511</v>
      </c>
      <c r="I127" s="15">
        <v>43830</v>
      </c>
      <c r="J127" s="35" t="s">
        <v>590</v>
      </c>
      <c r="K127" s="108"/>
      <c r="L127" s="108"/>
      <c r="M127" s="105"/>
      <c r="N127" s="105"/>
      <c r="O127" s="98"/>
      <c r="P127" s="98"/>
      <c r="Q127" s="105"/>
      <c r="R127" s="102"/>
      <c r="S127" s="102"/>
      <c r="T127" s="106"/>
      <c r="U127" s="105"/>
      <c r="V127" s="105"/>
      <c r="W127" s="98"/>
      <c r="X127" s="98"/>
      <c r="Y127" s="105"/>
      <c r="Z127" s="102"/>
      <c r="AA127" s="102"/>
      <c r="AB127" s="106"/>
      <c r="AC127" s="105"/>
      <c r="AD127" s="105"/>
      <c r="AE127" s="98"/>
      <c r="AF127" s="98"/>
      <c r="AG127" s="105"/>
      <c r="AH127" s="102"/>
      <c r="AI127" s="102"/>
      <c r="AJ127" s="106"/>
      <c r="AK127" s="105"/>
      <c r="AL127" s="105"/>
      <c r="AM127" s="98"/>
      <c r="AN127" s="98"/>
      <c r="AO127" s="105"/>
      <c r="AP127" s="102"/>
      <c r="AQ127" s="102"/>
      <c r="AR127" s="207"/>
    </row>
    <row r="128" spans="1:44" ht="31.5" x14ac:dyDescent="0.25">
      <c r="A128" s="156"/>
      <c r="B128" s="106"/>
      <c r="C128" s="105"/>
      <c r="D128" s="105"/>
      <c r="E128" s="105"/>
      <c r="F128" s="105"/>
      <c r="G128" s="43" t="s">
        <v>737</v>
      </c>
      <c r="H128" s="15">
        <v>43570</v>
      </c>
      <c r="I128" s="15">
        <v>43830</v>
      </c>
      <c r="J128" s="35" t="s">
        <v>590</v>
      </c>
      <c r="K128" s="108"/>
      <c r="L128" s="108"/>
      <c r="M128" s="105"/>
      <c r="N128" s="105"/>
      <c r="O128" s="98"/>
      <c r="P128" s="98"/>
      <c r="Q128" s="105"/>
      <c r="R128" s="102"/>
      <c r="S128" s="102"/>
      <c r="T128" s="106"/>
      <c r="U128" s="105"/>
      <c r="V128" s="105"/>
      <c r="W128" s="98"/>
      <c r="X128" s="98"/>
      <c r="Y128" s="105"/>
      <c r="Z128" s="102"/>
      <c r="AA128" s="102"/>
      <c r="AB128" s="106"/>
      <c r="AC128" s="105"/>
      <c r="AD128" s="105"/>
      <c r="AE128" s="98"/>
      <c r="AF128" s="98"/>
      <c r="AG128" s="105"/>
      <c r="AH128" s="102"/>
      <c r="AI128" s="102"/>
      <c r="AJ128" s="106"/>
      <c r="AK128" s="105"/>
      <c r="AL128" s="105"/>
      <c r="AM128" s="98"/>
      <c r="AN128" s="98"/>
      <c r="AO128" s="105"/>
      <c r="AP128" s="102"/>
      <c r="AQ128" s="102"/>
      <c r="AR128" s="208"/>
    </row>
    <row r="129" spans="1:44" ht="31.5" x14ac:dyDescent="0.25">
      <c r="A129" s="156" t="s">
        <v>96</v>
      </c>
      <c r="B129" s="106" t="s">
        <v>260</v>
      </c>
      <c r="C129" s="105">
        <v>24</v>
      </c>
      <c r="D129" s="105" t="s">
        <v>993</v>
      </c>
      <c r="E129" s="105">
        <v>0</v>
      </c>
      <c r="F129" s="105" t="s">
        <v>145</v>
      </c>
      <c r="G129" s="43" t="s">
        <v>196</v>
      </c>
      <c r="H129" s="15">
        <v>43586</v>
      </c>
      <c r="I129" s="15">
        <v>43617</v>
      </c>
      <c r="J129" s="35" t="s">
        <v>590</v>
      </c>
      <c r="K129" s="108" t="s">
        <v>316</v>
      </c>
      <c r="L129" s="108" t="s">
        <v>834</v>
      </c>
      <c r="M129" s="105" t="s">
        <v>487</v>
      </c>
      <c r="N129" s="105" t="s">
        <v>487</v>
      </c>
      <c r="O129" s="98" t="str">
        <f>IFERROR((0%/0%),"No aplica")</f>
        <v>No aplica</v>
      </c>
      <c r="P129" s="98">
        <f>IFERROR((0%/70%),"No aplica")</f>
        <v>0</v>
      </c>
      <c r="Q129" s="105" t="s">
        <v>457</v>
      </c>
      <c r="R129" s="102" t="s">
        <v>485</v>
      </c>
      <c r="S129" s="102" t="s">
        <v>309</v>
      </c>
      <c r="T129" s="106" t="s">
        <v>834</v>
      </c>
      <c r="U129" s="105" t="s">
        <v>487</v>
      </c>
      <c r="V129" s="105" t="s">
        <v>898</v>
      </c>
      <c r="W129" s="98" t="str">
        <f>IFERROR((20%/0%),"No aplica")</f>
        <v>No aplica</v>
      </c>
      <c r="X129" s="98">
        <f>IFERROR((20%/70%),"No aplica")</f>
        <v>0.28571428571428575</v>
      </c>
      <c r="Y129" s="105" t="s">
        <v>458</v>
      </c>
      <c r="Z129" s="102" t="s">
        <v>941</v>
      </c>
      <c r="AA129" s="102" t="s">
        <v>938</v>
      </c>
      <c r="AB129" s="106" t="s">
        <v>834</v>
      </c>
      <c r="AC129" s="105" t="s">
        <v>1220</v>
      </c>
      <c r="AD129" s="105" t="s">
        <v>898</v>
      </c>
      <c r="AE129" s="98">
        <f>IFERROR((20%/40%),"No aplica")</f>
        <v>0.5</v>
      </c>
      <c r="AF129" s="98">
        <f>IFERROR(((20%+20%)/70%),"No aplica")</f>
        <v>0.57142857142857151</v>
      </c>
      <c r="AG129" s="105" t="s">
        <v>458</v>
      </c>
      <c r="AH129" s="102" t="s">
        <v>1221</v>
      </c>
      <c r="AI129" s="102" t="s">
        <v>1222</v>
      </c>
      <c r="AJ129" s="106" t="s">
        <v>834</v>
      </c>
      <c r="AK129" s="105" t="s">
        <v>1333</v>
      </c>
      <c r="AL129" s="105" t="s">
        <v>487</v>
      </c>
      <c r="AM129" s="98">
        <f>IFERROR((0%/30%),"No aplica")</f>
        <v>0</v>
      </c>
      <c r="AN129" s="98">
        <f>IFERROR(((20%+20%)/70%),"No aplica")</f>
        <v>0.57142857142857151</v>
      </c>
      <c r="AO129" s="105" t="s">
        <v>474</v>
      </c>
      <c r="AP129" s="102" t="s">
        <v>1334</v>
      </c>
      <c r="AQ129" s="102" t="s">
        <v>1496</v>
      </c>
      <c r="AR129" s="206" t="s">
        <v>1497</v>
      </c>
    </row>
    <row r="130" spans="1:44" ht="31.5" x14ac:dyDescent="0.25">
      <c r="A130" s="156"/>
      <c r="B130" s="106"/>
      <c r="C130" s="105"/>
      <c r="D130" s="105"/>
      <c r="E130" s="105"/>
      <c r="F130" s="105"/>
      <c r="G130" s="43" t="s">
        <v>139</v>
      </c>
      <c r="H130" s="15">
        <v>43617</v>
      </c>
      <c r="I130" s="15">
        <v>43678</v>
      </c>
      <c r="J130" s="35" t="s">
        <v>590</v>
      </c>
      <c r="K130" s="108"/>
      <c r="L130" s="108"/>
      <c r="M130" s="105"/>
      <c r="N130" s="105"/>
      <c r="O130" s="98"/>
      <c r="P130" s="98"/>
      <c r="Q130" s="105"/>
      <c r="R130" s="102"/>
      <c r="S130" s="102"/>
      <c r="T130" s="106"/>
      <c r="U130" s="105"/>
      <c r="V130" s="105"/>
      <c r="W130" s="98"/>
      <c r="X130" s="98"/>
      <c r="Y130" s="105"/>
      <c r="Z130" s="102"/>
      <c r="AA130" s="102"/>
      <c r="AB130" s="106"/>
      <c r="AC130" s="105"/>
      <c r="AD130" s="105"/>
      <c r="AE130" s="98"/>
      <c r="AF130" s="98"/>
      <c r="AG130" s="105"/>
      <c r="AH130" s="102"/>
      <c r="AI130" s="102"/>
      <c r="AJ130" s="106"/>
      <c r="AK130" s="105"/>
      <c r="AL130" s="105"/>
      <c r="AM130" s="98"/>
      <c r="AN130" s="98"/>
      <c r="AO130" s="105"/>
      <c r="AP130" s="102"/>
      <c r="AQ130" s="102"/>
      <c r="AR130" s="207"/>
    </row>
    <row r="131" spans="1:44" ht="31.5" x14ac:dyDescent="0.25">
      <c r="A131" s="156"/>
      <c r="B131" s="106"/>
      <c r="C131" s="105"/>
      <c r="D131" s="105"/>
      <c r="E131" s="105"/>
      <c r="F131" s="105"/>
      <c r="G131" s="43" t="s">
        <v>140</v>
      </c>
      <c r="H131" s="15">
        <v>43678</v>
      </c>
      <c r="I131" s="15">
        <v>43753</v>
      </c>
      <c r="J131" s="35" t="s">
        <v>590</v>
      </c>
      <c r="K131" s="108"/>
      <c r="L131" s="108"/>
      <c r="M131" s="105"/>
      <c r="N131" s="105"/>
      <c r="O131" s="98"/>
      <c r="P131" s="98"/>
      <c r="Q131" s="105"/>
      <c r="R131" s="102"/>
      <c r="S131" s="102"/>
      <c r="T131" s="106"/>
      <c r="U131" s="105"/>
      <c r="V131" s="105"/>
      <c r="W131" s="98"/>
      <c r="X131" s="98"/>
      <c r="Y131" s="105"/>
      <c r="Z131" s="102"/>
      <c r="AA131" s="102"/>
      <c r="AB131" s="106"/>
      <c r="AC131" s="105"/>
      <c r="AD131" s="105"/>
      <c r="AE131" s="98"/>
      <c r="AF131" s="98"/>
      <c r="AG131" s="105"/>
      <c r="AH131" s="102"/>
      <c r="AI131" s="102"/>
      <c r="AJ131" s="106"/>
      <c r="AK131" s="105"/>
      <c r="AL131" s="105"/>
      <c r="AM131" s="98"/>
      <c r="AN131" s="98"/>
      <c r="AO131" s="105"/>
      <c r="AP131" s="102"/>
      <c r="AQ131" s="102"/>
      <c r="AR131" s="208"/>
    </row>
    <row r="132" spans="1:44" ht="57.75" customHeight="1" x14ac:dyDescent="0.25">
      <c r="A132" s="156" t="s">
        <v>97</v>
      </c>
      <c r="B132" s="106" t="s">
        <v>409</v>
      </c>
      <c r="C132" s="105">
        <v>25</v>
      </c>
      <c r="D132" s="105" t="s">
        <v>991</v>
      </c>
      <c r="E132" s="105">
        <v>0</v>
      </c>
      <c r="F132" s="105" t="s">
        <v>146</v>
      </c>
      <c r="G132" s="43" t="s">
        <v>835</v>
      </c>
      <c r="H132" s="15">
        <v>43466</v>
      </c>
      <c r="I132" s="15">
        <v>43511</v>
      </c>
      <c r="J132" s="35" t="s">
        <v>590</v>
      </c>
      <c r="K132" s="107" t="s">
        <v>316</v>
      </c>
      <c r="L132" s="107" t="s">
        <v>300</v>
      </c>
      <c r="M132" s="98" t="s">
        <v>488</v>
      </c>
      <c r="N132" s="98" t="s">
        <v>488</v>
      </c>
      <c r="O132" s="98">
        <f>IFERROR((15%/15%),"No aplica")</f>
        <v>1</v>
      </c>
      <c r="P132" s="98">
        <f>IFERROR((15%/100%),"No aplica")</f>
        <v>0.15</v>
      </c>
      <c r="Q132" s="98" t="s">
        <v>458</v>
      </c>
      <c r="R132" s="133" t="s">
        <v>567</v>
      </c>
      <c r="S132" s="133" t="s">
        <v>606</v>
      </c>
      <c r="T132" s="132" t="s">
        <v>300</v>
      </c>
      <c r="U132" s="98" t="s">
        <v>899</v>
      </c>
      <c r="V132" s="98" t="s">
        <v>942</v>
      </c>
      <c r="W132" s="98">
        <f>IFERROR((35%/63%),"No aplica")</f>
        <v>0.55555555555555547</v>
      </c>
      <c r="X132" s="98">
        <f>IFERROR(((35%+15%)/100%),"No aplica")</f>
        <v>0.5</v>
      </c>
      <c r="Y132" s="98" t="s">
        <v>474</v>
      </c>
      <c r="Z132" s="133" t="s">
        <v>982</v>
      </c>
      <c r="AA132" s="134" t="s">
        <v>943</v>
      </c>
      <c r="AB132" s="132" t="s">
        <v>300</v>
      </c>
      <c r="AC132" s="98" t="s">
        <v>1223</v>
      </c>
      <c r="AD132" s="98" t="s">
        <v>1224</v>
      </c>
      <c r="AE132" s="98">
        <f>IFERROR((39%/11%),"No aplica")</f>
        <v>3.5454545454545454</v>
      </c>
      <c r="AF132" s="98">
        <f>IFERROR(((15%+35%+39%)/100%),"No aplica")</f>
        <v>0.89</v>
      </c>
      <c r="AG132" s="98" t="s">
        <v>458</v>
      </c>
      <c r="AH132" s="133" t="s">
        <v>1225</v>
      </c>
      <c r="AI132" s="134" t="s">
        <v>1226</v>
      </c>
      <c r="AJ132" s="132" t="s">
        <v>300</v>
      </c>
      <c r="AK132" s="98" t="s">
        <v>1223</v>
      </c>
      <c r="AL132" s="98" t="s">
        <v>1223</v>
      </c>
      <c r="AM132" s="98">
        <f>IFERROR((11%/11%),"No aplica")</f>
        <v>1</v>
      </c>
      <c r="AN132" s="98">
        <f>IFERROR(((15%+35%+39%+11%)/100%),"No aplica")</f>
        <v>1</v>
      </c>
      <c r="AO132" s="98" t="s">
        <v>458</v>
      </c>
      <c r="AP132" s="133" t="s">
        <v>1335</v>
      </c>
      <c r="AQ132" s="133" t="s">
        <v>1499</v>
      </c>
      <c r="AR132" s="216" t="s">
        <v>1512</v>
      </c>
    </row>
    <row r="133" spans="1:44" ht="57.75" customHeight="1" x14ac:dyDescent="0.25">
      <c r="A133" s="156"/>
      <c r="B133" s="106"/>
      <c r="C133" s="105"/>
      <c r="D133" s="105"/>
      <c r="E133" s="105"/>
      <c r="F133" s="105"/>
      <c r="G133" s="43" t="s">
        <v>256</v>
      </c>
      <c r="H133" s="15">
        <v>43473</v>
      </c>
      <c r="I133" s="15">
        <v>43570</v>
      </c>
      <c r="J133" s="35" t="s">
        <v>590</v>
      </c>
      <c r="K133" s="108"/>
      <c r="L133" s="108"/>
      <c r="M133" s="105"/>
      <c r="N133" s="105"/>
      <c r="O133" s="98"/>
      <c r="P133" s="98"/>
      <c r="Q133" s="98"/>
      <c r="R133" s="102"/>
      <c r="S133" s="102"/>
      <c r="T133" s="106"/>
      <c r="U133" s="105"/>
      <c r="V133" s="105"/>
      <c r="W133" s="98"/>
      <c r="X133" s="98"/>
      <c r="Y133" s="98"/>
      <c r="Z133" s="102"/>
      <c r="AA133" s="135"/>
      <c r="AB133" s="106"/>
      <c r="AC133" s="105"/>
      <c r="AD133" s="105"/>
      <c r="AE133" s="98"/>
      <c r="AF133" s="98"/>
      <c r="AG133" s="98"/>
      <c r="AH133" s="102"/>
      <c r="AI133" s="135"/>
      <c r="AJ133" s="106"/>
      <c r="AK133" s="105"/>
      <c r="AL133" s="105"/>
      <c r="AM133" s="98"/>
      <c r="AN133" s="98"/>
      <c r="AO133" s="98"/>
      <c r="AP133" s="102"/>
      <c r="AQ133" s="133"/>
      <c r="AR133" s="217"/>
    </row>
    <row r="134" spans="1:44" ht="57.75" customHeight="1" x14ac:dyDescent="0.25">
      <c r="A134" s="156"/>
      <c r="B134" s="106"/>
      <c r="C134" s="105"/>
      <c r="D134" s="105"/>
      <c r="E134" s="105"/>
      <c r="F134" s="105"/>
      <c r="G134" s="43" t="s">
        <v>197</v>
      </c>
      <c r="H134" s="15">
        <v>43525</v>
      </c>
      <c r="I134" s="15">
        <v>43830</v>
      </c>
      <c r="J134" s="35" t="s">
        <v>590</v>
      </c>
      <c r="K134" s="108"/>
      <c r="L134" s="108"/>
      <c r="M134" s="105"/>
      <c r="N134" s="105"/>
      <c r="O134" s="98"/>
      <c r="P134" s="98"/>
      <c r="Q134" s="98"/>
      <c r="R134" s="102"/>
      <c r="S134" s="102"/>
      <c r="T134" s="106"/>
      <c r="U134" s="105"/>
      <c r="V134" s="105"/>
      <c r="W134" s="98"/>
      <c r="X134" s="98"/>
      <c r="Y134" s="98"/>
      <c r="Z134" s="102"/>
      <c r="AA134" s="135"/>
      <c r="AB134" s="106"/>
      <c r="AC134" s="105"/>
      <c r="AD134" s="105"/>
      <c r="AE134" s="98"/>
      <c r="AF134" s="98"/>
      <c r="AG134" s="98"/>
      <c r="AH134" s="102"/>
      <c r="AI134" s="135"/>
      <c r="AJ134" s="106"/>
      <c r="AK134" s="105"/>
      <c r="AL134" s="105"/>
      <c r="AM134" s="98"/>
      <c r="AN134" s="98"/>
      <c r="AO134" s="98"/>
      <c r="AP134" s="102"/>
      <c r="AQ134" s="133"/>
      <c r="AR134" s="217"/>
    </row>
    <row r="135" spans="1:44" ht="57.75" customHeight="1" x14ac:dyDescent="0.25">
      <c r="A135" s="156"/>
      <c r="B135" s="106"/>
      <c r="C135" s="105"/>
      <c r="D135" s="105"/>
      <c r="E135" s="105"/>
      <c r="F135" s="105"/>
      <c r="G135" s="43" t="s">
        <v>198</v>
      </c>
      <c r="H135" s="15">
        <v>43586</v>
      </c>
      <c r="I135" s="15" t="s">
        <v>141</v>
      </c>
      <c r="J135" s="35" t="s">
        <v>590</v>
      </c>
      <c r="K135" s="108"/>
      <c r="L135" s="108"/>
      <c r="M135" s="105"/>
      <c r="N135" s="105"/>
      <c r="O135" s="98"/>
      <c r="P135" s="98"/>
      <c r="Q135" s="98"/>
      <c r="R135" s="102"/>
      <c r="S135" s="102"/>
      <c r="T135" s="106"/>
      <c r="U135" s="105"/>
      <c r="V135" s="105"/>
      <c r="W135" s="98"/>
      <c r="X135" s="98"/>
      <c r="Y135" s="98"/>
      <c r="Z135" s="102"/>
      <c r="AA135" s="136"/>
      <c r="AB135" s="106"/>
      <c r="AC135" s="105"/>
      <c r="AD135" s="105"/>
      <c r="AE135" s="98"/>
      <c r="AF135" s="98"/>
      <c r="AG135" s="98"/>
      <c r="AH135" s="102"/>
      <c r="AI135" s="136"/>
      <c r="AJ135" s="106"/>
      <c r="AK135" s="105"/>
      <c r="AL135" s="105"/>
      <c r="AM135" s="98"/>
      <c r="AN135" s="98"/>
      <c r="AO135" s="98"/>
      <c r="AP135" s="102"/>
      <c r="AQ135" s="133"/>
      <c r="AR135" s="218"/>
    </row>
    <row r="136" spans="1:44" ht="31.5" x14ac:dyDescent="0.25">
      <c r="A136" s="165" t="s">
        <v>98</v>
      </c>
      <c r="B136" s="166" t="s">
        <v>262</v>
      </c>
      <c r="C136" s="159">
        <v>26</v>
      </c>
      <c r="D136" s="159" t="s">
        <v>142</v>
      </c>
      <c r="E136" s="159">
        <v>0</v>
      </c>
      <c r="F136" s="159" t="s">
        <v>203</v>
      </c>
      <c r="G136" s="59" t="s">
        <v>200</v>
      </c>
      <c r="H136" s="60">
        <v>43466</v>
      </c>
      <c r="I136" s="60">
        <v>43480</v>
      </c>
      <c r="J136" s="61" t="s">
        <v>590</v>
      </c>
      <c r="K136" s="160" t="s">
        <v>316</v>
      </c>
      <c r="L136" s="108" t="s">
        <v>944</v>
      </c>
      <c r="M136" s="105" t="s">
        <v>489</v>
      </c>
      <c r="N136" s="105" t="s">
        <v>489</v>
      </c>
      <c r="O136" s="98" t="str">
        <f>IFERROR((0%/0%),"No aplica")</f>
        <v>No aplica</v>
      </c>
      <c r="P136" s="98">
        <f>IFERROR((0%/80%),"No aplica")</f>
        <v>0</v>
      </c>
      <c r="Q136" s="105" t="s">
        <v>457</v>
      </c>
      <c r="R136" s="102" t="s">
        <v>836</v>
      </c>
      <c r="S136" s="102" t="s">
        <v>606</v>
      </c>
      <c r="T136" s="106" t="s">
        <v>944</v>
      </c>
      <c r="U136" s="105" t="s">
        <v>945</v>
      </c>
      <c r="V136" s="105" t="s">
        <v>946</v>
      </c>
      <c r="W136" s="98">
        <f>IFERROR((32%/33%),"No aplica")</f>
        <v>0.96969696969696972</v>
      </c>
      <c r="X136" s="98">
        <f>IFERROR((32%/85%),"No aplica")</f>
        <v>0.37647058823529411</v>
      </c>
      <c r="Y136" s="128" t="s">
        <v>458</v>
      </c>
      <c r="Z136" s="102" t="s">
        <v>983</v>
      </c>
      <c r="AA136" s="102" t="s">
        <v>900</v>
      </c>
      <c r="AB136" s="106" t="s">
        <v>944</v>
      </c>
      <c r="AC136" s="105" t="s">
        <v>1228</v>
      </c>
      <c r="AD136" s="105" t="s">
        <v>1229</v>
      </c>
      <c r="AE136" s="98">
        <f>IFERROR((3%/35%),"No aplica")</f>
        <v>8.5714285714285715E-2</v>
      </c>
      <c r="AF136" s="98">
        <f>IFERROR(((32%+3%)/85%),"No aplica")</f>
        <v>0.41176470588235292</v>
      </c>
      <c r="AG136" s="128" t="s">
        <v>474</v>
      </c>
      <c r="AH136" s="102" t="s">
        <v>1227</v>
      </c>
      <c r="AI136" s="102" t="s">
        <v>1281</v>
      </c>
      <c r="AJ136" s="106" t="s">
        <v>944</v>
      </c>
      <c r="AK136" s="105" t="s">
        <v>1338</v>
      </c>
      <c r="AL136" s="105" t="s">
        <v>1339</v>
      </c>
      <c r="AM136" s="98">
        <f>IFERROR((69%/17%),"No aplica")</f>
        <v>4.0588235294117645</v>
      </c>
      <c r="AN136" s="98">
        <f>IFERROR(((32%+3%+69%)/85%),"No aplica")</f>
        <v>1.223529411764706</v>
      </c>
      <c r="AO136" s="128" t="s">
        <v>468</v>
      </c>
      <c r="AP136" s="102" t="s">
        <v>1336</v>
      </c>
      <c r="AQ136" s="102" t="s">
        <v>1337</v>
      </c>
      <c r="AR136" s="206" t="s">
        <v>1513</v>
      </c>
    </row>
    <row r="137" spans="1:44" ht="31.5" x14ac:dyDescent="0.25">
      <c r="A137" s="165"/>
      <c r="B137" s="166"/>
      <c r="C137" s="159"/>
      <c r="D137" s="159"/>
      <c r="E137" s="159"/>
      <c r="F137" s="159"/>
      <c r="G137" s="59" t="s">
        <v>199</v>
      </c>
      <c r="H137" s="60">
        <v>43466</v>
      </c>
      <c r="I137" s="60">
        <v>43555</v>
      </c>
      <c r="J137" s="61" t="s">
        <v>590</v>
      </c>
      <c r="K137" s="160"/>
      <c r="L137" s="108"/>
      <c r="M137" s="105"/>
      <c r="N137" s="105"/>
      <c r="O137" s="98"/>
      <c r="P137" s="98"/>
      <c r="Q137" s="105"/>
      <c r="R137" s="102"/>
      <c r="S137" s="102"/>
      <c r="T137" s="106"/>
      <c r="U137" s="105"/>
      <c r="V137" s="105"/>
      <c r="W137" s="98"/>
      <c r="X137" s="98"/>
      <c r="Y137" s="128"/>
      <c r="Z137" s="102"/>
      <c r="AA137" s="102"/>
      <c r="AB137" s="106"/>
      <c r="AC137" s="105"/>
      <c r="AD137" s="105"/>
      <c r="AE137" s="98"/>
      <c r="AF137" s="98"/>
      <c r="AG137" s="128"/>
      <c r="AH137" s="102"/>
      <c r="AI137" s="102"/>
      <c r="AJ137" s="106"/>
      <c r="AK137" s="105"/>
      <c r="AL137" s="105"/>
      <c r="AM137" s="98"/>
      <c r="AN137" s="98"/>
      <c r="AO137" s="128"/>
      <c r="AP137" s="102"/>
      <c r="AQ137" s="102"/>
      <c r="AR137" s="207"/>
    </row>
    <row r="138" spans="1:44" ht="31.5" x14ac:dyDescent="0.25">
      <c r="A138" s="165"/>
      <c r="B138" s="166"/>
      <c r="C138" s="159"/>
      <c r="D138" s="159"/>
      <c r="E138" s="159"/>
      <c r="F138" s="159"/>
      <c r="G138" s="59" t="s">
        <v>739</v>
      </c>
      <c r="H138" s="60">
        <v>43480</v>
      </c>
      <c r="I138" s="60">
        <v>43830</v>
      </c>
      <c r="J138" s="61" t="s">
        <v>590</v>
      </c>
      <c r="K138" s="160"/>
      <c r="L138" s="108"/>
      <c r="M138" s="105"/>
      <c r="N138" s="105"/>
      <c r="O138" s="98"/>
      <c r="P138" s="98"/>
      <c r="Q138" s="105"/>
      <c r="R138" s="102"/>
      <c r="S138" s="102"/>
      <c r="T138" s="106"/>
      <c r="U138" s="105"/>
      <c r="V138" s="105"/>
      <c r="W138" s="98"/>
      <c r="X138" s="98"/>
      <c r="Y138" s="128"/>
      <c r="Z138" s="102"/>
      <c r="AA138" s="102"/>
      <c r="AB138" s="106"/>
      <c r="AC138" s="105"/>
      <c r="AD138" s="105"/>
      <c r="AE138" s="98"/>
      <c r="AF138" s="98"/>
      <c r="AG138" s="128"/>
      <c r="AH138" s="102"/>
      <c r="AI138" s="102"/>
      <c r="AJ138" s="106"/>
      <c r="AK138" s="105"/>
      <c r="AL138" s="105"/>
      <c r="AM138" s="98"/>
      <c r="AN138" s="98"/>
      <c r="AO138" s="128"/>
      <c r="AP138" s="102"/>
      <c r="AQ138" s="102"/>
      <c r="AR138" s="207"/>
    </row>
    <row r="139" spans="1:44" ht="31.5" x14ac:dyDescent="0.25">
      <c r="A139" s="165"/>
      <c r="B139" s="166"/>
      <c r="C139" s="159"/>
      <c r="D139" s="159"/>
      <c r="E139" s="159"/>
      <c r="F139" s="159"/>
      <c r="G139" s="59" t="s">
        <v>201</v>
      </c>
      <c r="H139" s="60">
        <v>43480</v>
      </c>
      <c r="I139" s="60">
        <v>43830</v>
      </c>
      <c r="J139" s="61" t="s">
        <v>590</v>
      </c>
      <c r="K139" s="160"/>
      <c r="L139" s="108"/>
      <c r="M139" s="105"/>
      <c r="N139" s="105"/>
      <c r="O139" s="98"/>
      <c r="P139" s="98"/>
      <c r="Q139" s="105"/>
      <c r="R139" s="102"/>
      <c r="S139" s="102"/>
      <c r="T139" s="106"/>
      <c r="U139" s="105"/>
      <c r="V139" s="105"/>
      <c r="W139" s="98"/>
      <c r="X139" s="98"/>
      <c r="Y139" s="128"/>
      <c r="Z139" s="102"/>
      <c r="AA139" s="102"/>
      <c r="AB139" s="106"/>
      <c r="AC139" s="105"/>
      <c r="AD139" s="105"/>
      <c r="AE139" s="98"/>
      <c r="AF139" s="98"/>
      <c r="AG139" s="128"/>
      <c r="AH139" s="102"/>
      <c r="AI139" s="102"/>
      <c r="AJ139" s="106"/>
      <c r="AK139" s="105"/>
      <c r="AL139" s="105"/>
      <c r="AM139" s="98"/>
      <c r="AN139" s="98"/>
      <c r="AO139" s="128"/>
      <c r="AP139" s="102"/>
      <c r="AQ139" s="102"/>
      <c r="AR139" s="207"/>
    </row>
    <row r="140" spans="1:44" ht="31.5" x14ac:dyDescent="0.25">
      <c r="A140" s="165"/>
      <c r="B140" s="166"/>
      <c r="C140" s="159"/>
      <c r="D140" s="159"/>
      <c r="E140" s="159"/>
      <c r="F140" s="159"/>
      <c r="G140" s="59" t="s">
        <v>257</v>
      </c>
      <c r="H140" s="60">
        <v>43525</v>
      </c>
      <c r="I140" s="60">
        <v>43570</v>
      </c>
      <c r="J140" s="61" t="s">
        <v>590</v>
      </c>
      <c r="K140" s="160"/>
      <c r="L140" s="108"/>
      <c r="M140" s="105"/>
      <c r="N140" s="105"/>
      <c r="O140" s="98"/>
      <c r="P140" s="98"/>
      <c r="Q140" s="105"/>
      <c r="R140" s="102"/>
      <c r="S140" s="102"/>
      <c r="T140" s="106"/>
      <c r="U140" s="105"/>
      <c r="V140" s="105"/>
      <c r="W140" s="98"/>
      <c r="X140" s="98"/>
      <c r="Y140" s="128"/>
      <c r="Z140" s="102"/>
      <c r="AA140" s="102"/>
      <c r="AB140" s="106"/>
      <c r="AC140" s="105"/>
      <c r="AD140" s="105"/>
      <c r="AE140" s="98"/>
      <c r="AF140" s="98"/>
      <c r="AG140" s="128"/>
      <c r="AH140" s="102"/>
      <c r="AI140" s="102"/>
      <c r="AJ140" s="106"/>
      <c r="AK140" s="105"/>
      <c r="AL140" s="105"/>
      <c r="AM140" s="98"/>
      <c r="AN140" s="98"/>
      <c r="AO140" s="128"/>
      <c r="AP140" s="102"/>
      <c r="AQ140" s="102"/>
      <c r="AR140" s="207"/>
    </row>
    <row r="141" spans="1:44" ht="31.5" x14ac:dyDescent="0.25">
      <c r="A141" s="165"/>
      <c r="B141" s="166"/>
      <c r="C141" s="159"/>
      <c r="D141" s="159"/>
      <c r="E141" s="159"/>
      <c r="F141" s="159"/>
      <c r="G141" s="59" t="s">
        <v>202</v>
      </c>
      <c r="H141" s="60">
        <v>43570</v>
      </c>
      <c r="I141" s="60">
        <v>43830</v>
      </c>
      <c r="J141" s="61" t="s">
        <v>590</v>
      </c>
      <c r="K141" s="160"/>
      <c r="L141" s="108"/>
      <c r="M141" s="105"/>
      <c r="N141" s="105"/>
      <c r="O141" s="98"/>
      <c r="P141" s="98"/>
      <c r="Q141" s="105"/>
      <c r="R141" s="102"/>
      <c r="S141" s="102"/>
      <c r="T141" s="106"/>
      <c r="U141" s="105"/>
      <c r="V141" s="105"/>
      <c r="W141" s="98"/>
      <c r="X141" s="98"/>
      <c r="Y141" s="128"/>
      <c r="Z141" s="102"/>
      <c r="AA141" s="102"/>
      <c r="AB141" s="106"/>
      <c r="AC141" s="105"/>
      <c r="AD141" s="105"/>
      <c r="AE141" s="98"/>
      <c r="AF141" s="98"/>
      <c r="AG141" s="128"/>
      <c r="AH141" s="102"/>
      <c r="AI141" s="102"/>
      <c r="AJ141" s="106"/>
      <c r="AK141" s="105"/>
      <c r="AL141" s="105"/>
      <c r="AM141" s="98"/>
      <c r="AN141" s="98"/>
      <c r="AO141" s="128"/>
      <c r="AP141" s="102"/>
      <c r="AQ141" s="102"/>
      <c r="AR141" s="207"/>
    </row>
    <row r="142" spans="1:44" ht="47.25" x14ac:dyDescent="0.25">
      <c r="A142" s="165"/>
      <c r="B142" s="166"/>
      <c r="C142" s="159"/>
      <c r="D142" s="159"/>
      <c r="E142" s="159"/>
      <c r="F142" s="159"/>
      <c r="G142" s="59" t="s">
        <v>258</v>
      </c>
      <c r="H142" s="60">
        <v>43525</v>
      </c>
      <c r="I142" s="60">
        <v>43830</v>
      </c>
      <c r="J142" s="61" t="s">
        <v>590</v>
      </c>
      <c r="K142" s="160"/>
      <c r="L142" s="108"/>
      <c r="M142" s="105"/>
      <c r="N142" s="105"/>
      <c r="O142" s="98"/>
      <c r="P142" s="98"/>
      <c r="Q142" s="105"/>
      <c r="R142" s="102"/>
      <c r="S142" s="102"/>
      <c r="T142" s="106"/>
      <c r="U142" s="105"/>
      <c r="V142" s="105"/>
      <c r="W142" s="98"/>
      <c r="X142" s="98"/>
      <c r="Y142" s="128"/>
      <c r="Z142" s="102"/>
      <c r="AA142" s="102"/>
      <c r="AB142" s="106"/>
      <c r="AC142" s="105"/>
      <c r="AD142" s="105"/>
      <c r="AE142" s="98"/>
      <c r="AF142" s="98"/>
      <c r="AG142" s="128"/>
      <c r="AH142" s="102"/>
      <c r="AI142" s="102"/>
      <c r="AJ142" s="106"/>
      <c r="AK142" s="105"/>
      <c r="AL142" s="105"/>
      <c r="AM142" s="98"/>
      <c r="AN142" s="98"/>
      <c r="AO142" s="128"/>
      <c r="AP142" s="102"/>
      <c r="AQ142" s="102"/>
      <c r="AR142" s="208"/>
    </row>
    <row r="143" spans="1:44" ht="31.5" x14ac:dyDescent="0.25">
      <c r="A143" s="156" t="s">
        <v>98</v>
      </c>
      <c r="B143" s="106" t="s">
        <v>262</v>
      </c>
      <c r="C143" s="105">
        <v>27</v>
      </c>
      <c r="D143" s="105" t="s">
        <v>992</v>
      </c>
      <c r="E143" s="105">
        <v>0</v>
      </c>
      <c r="F143" s="105" t="s">
        <v>837</v>
      </c>
      <c r="G143" s="43" t="s">
        <v>741</v>
      </c>
      <c r="H143" s="15">
        <v>43617</v>
      </c>
      <c r="I143" s="15">
        <v>43644</v>
      </c>
      <c r="J143" s="35" t="s">
        <v>590</v>
      </c>
      <c r="K143" s="108" t="s">
        <v>332</v>
      </c>
      <c r="L143" s="108" t="s">
        <v>490</v>
      </c>
      <c r="M143" s="105" t="s">
        <v>491</v>
      </c>
      <c r="N143" s="105" t="s">
        <v>491</v>
      </c>
      <c r="O143" s="98" t="str">
        <f>IFERROR((0%/0%),"No aplica")</f>
        <v>No aplica</v>
      </c>
      <c r="P143" s="98">
        <f>IFERROR((0%/50%),"No aplica")</f>
        <v>0</v>
      </c>
      <c r="Q143" s="105" t="s">
        <v>457</v>
      </c>
      <c r="R143" s="102" t="s">
        <v>485</v>
      </c>
      <c r="S143" s="102" t="s">
        <v>309</v>
      </c>
      <c r="T143" s="106" t="s">
        <v>490</v>
      </c>
      <c r="U143" s="105" t="s">
        <v>743</v>
      </c>
      <c r="V143" s="105" t="s">
        <v>743</v>
      </c>
      <c r="W143" s="129">
        <f>IFERROR((14%/14%),"No aplica")</f>
        <v>1</v>
      </c>
      <c r="X143" s="129">
        <f>IFERROR((14%/50%),"No aplica")</f>
        <v>0.28000000000000003</v>
      </c>
      <c r="Y143" s="105" t="s">
        <v>458</v>
      </c>
      <c r="Z143" s="102" t="s">
        <v>947</v>
      </c>
      <c r="AA143" s="102" t="s">
        <v>984</v>
      </c>
      <c r="AB143" s="106" t="s">
        <v>490</v>
      </c>
      <c r="AC143" s="105" t="s">
        <v>743</v>
      </c>
      <c r="AD143" s="105" t="s">
        <v>743</v>
      </c>
      <c r="AE143" s="129">
        <f>IFERROR((14%/14%),"No aplica")</f>
        <v>1</v>
      </c>
      <c r="AF143" s="129">
        <f>IFERROR((14%/50%),"No aplica")</f>
        <v>0.28000000000000003</v>
      </c>
      <c r="AG143" s="105" t="s">
        <v>458</v>
      </c>
      <c r="AH143" s="102" t="s">
        <v>1230</v>
      </c>
      <c r="AI143" s="102" t="s">
        <v>1231</v>
      </c>
      <c r="AJ143" s="106" t="s">
        <v>490</v>
      </c>
      <c r="AK143" s="105" t="s">
        <v>1342</v>
      </c>
      <c r="AL143" s="105" t="s">
        <v>1342</v>
      </c>
      <c r="AM143" s="98">
        <f>IFERROR((18%/18%),"No aplica")</f>
        <v>1</v>
      </c>
      <c r="AN143" s="98">
        <f>IFERROR(((14%+18%+18%)/50%),"No aplica")</f>
        <v>1</v>
      </c>
      <c r="AO143" s="105" t="s">
        <v>458</v>
      </c>
      <c r="AP143" s="102" t="s">
        <v>1514</v>
      </c>
      <c r="AQ143" s="102" t="s">
        <v>1340</v>
      </c>
      <c r="AR143" s="206" t="s">
        <v>1341</v>
      </c>
    </row>
    <row r="144" spans="1:44" ht="31.5" x14ac:dyDescent="0.25">
      <c r="A144" s="156"/>
      <c r="B144" s="106"/>
      <c r="C144" s="105"/>
      <c r="D144" s="105"/>
      <c r="E144" s="105"/>
      <c r="F144" s="105"/>
      <c r="G144" s="43" t="s">
        <v>740</v>
      </c>
      <c r="H144" s="15">
        <v>43642</v>
      </c>
      <c r="I144" s="15">
        <v>43769</v>
      </c>
      <c r="J144" s="35" t="s">
        <v>590</v>
      </c>
      <c r="K144" s="108"/>
      <c r="L144" s="108"/>
      <c r="M144" s="105"/>
      <c r="N144" s="105"/>
      <c r="O144" s="98"/>
      <c r="P144" s="98"/>
      <c r="Q144" s="105"/>
      <c r="R144" s="102"/>
      <c r="S144" s="102"/>
      <c r="T144" s="106"/>
      <c r="U144" s="105"/>
      <c r="V144" s="105"/>
      <c r="W144" s="130"/>
      <c r="X144" s="130"/>
      <c r="Y144" s="105"/>
      <c r="Z144" s="102"/>
      <c r="AA144" s="102"/>
      <c r="AB144" s="106"/>
      <c r="AC144" s="105"/>
      <c r="AD144" s="105"/>
      <c r="AE144" s="130"/>
      <c r="AF144" s="130"/>
      <c r="AG144" s="105"/>
      <c r="AH144" s="102"/>
      <c r="AI144" s="102"/>
      <c r="AJ144" s="106"/>
      <c r="AK144" s="105"/>
      <c r="AL144" s="105"/>
      <c r="AM144" s="98"/>
      <c r="AN144" s="98"/>
      <c r="AO144" s="105"/>
      <c r="AP144" s="102"/>
      <c r="AQ144" s="102"/>
      <c r="AR144" s="207"/>
    </row>
    <row r="145" spans="1:44" ht="31.5" x14ac:dyDescent="0.25">
      <c r="A145" s="156"/>
      <c r="B145" s="106"/>
      <c r="C145" s="105"/>
      <c r="D145" s="105"/>
      <c r="E145" s="105"/>
      <c r="F145" s="105"/>
      <c r="G145" s="43" t="s">
        <v>742</v>
      </c>
      <c r="H145" s="15">
        <v>43770</v>
      </c>
      <c r="I145" s="15">
        <v>43830</v>
      </c>
      <c r="J145" s="35" t="s">
        <v>590</v>
      </c>
      <c r="K145" s="108"/>
      <c r="L145" s="108"/>
      <c r="M145" s="105"/>
      <c r="N145" s="105"/>
      <c r="O145" s="98"/>
      <c r="P145" s="98"/>
      <c r="Q145" s="105"/>
      <c r="R145" s="102"/>
      <c r="S145" s="102"/>
      <c r="T145" s="106"/>
      <c r="U145" s="105"/>
      <c r="V145" s="105"/>
      <c r="W145" s="131"/>
      <c r="X145" s="131"/>
      <c r="Y145" s="105"/>
      <c r="Z145" s="102"/>
      <c r="AA145" s="102"/>
      <c r="AB145" s="106"/>
      <c r="AC145" s="105"/>
      <c r="AD145" s="105"/>
      <c r="AE145" s="131"/>
      <c r="AF145" s="131"/>
      <c r="AG145" s="105"/>
      <c r="AH145" s="102"/>
      <c r="AI145" s="102"/>
      <c r="AJ145" s="106"/>
      <c r="AK145" s="105"/>
      <c r="AL145" s="105"/>
      <c r="AM145" s="98"/>
      <c r="AN145" s="98"/>
      <c r="AO145" s="105"/>
      <c r="AP145" s="102"/>
      <c r="AQ145" s="102"/>
      <c r="AR145" s="208"/>
    </row>
    <row r="146" spans="1:44" ht="47.25" x14ac:dyDescent="0.25">
      <c r="A146" s="156" t="s">
        <v>98</v>
      </c>
      <c r="B146" s="106" t="s">
        <v>261</v>
      </c>
      <c r="C146" s="105">
        <v>28</v>
      </c>
      <c r="D146" s="105" t="s">
        <v>1011</v>
      </c>
      <c r="E146" s="105">
        <v>0</v>
      </c>
      <c r="F146" s="105" t="s">
        <v>259</v>
      </c>
      <c r="G146" s="43" t="s">
        <v>838</v>
      </c>
      <c r="H146" s="15">
        <v>43480</v>
      </c>
      <c r="I146" s="15">
        <v>43495</v>
      </c>
      <c r="J146" s="35" t="s">
        <v>590</v>
      </c>
      <c r="K146" s="108" t="s">
        <v>332</v>
      </c>
      <c r="L146" s="108" t="s">
        <v>410</v>
      </c>
      <c r="M146" s="105" t="s">
        <v>492</v>
      </c>
      <c r="N146" s="105" t="s">
        <v>492</v>
      </c>
      <c r="O146" s="98" t="str">
        <f>IFERROR((0/0),"No aplica")</f>
        <v>No aplica</v>
      </c>
      <c r="P146" s="98">
        <f>IFERROR((0/1),"No aplica")</f>
        <v>0</v>
      </c>
      <c r="Q146" s="105" t="s">
        <v>457</v>
      </c>
      <c r="R146" s="102" t="s">
        <v>485</v>
      </c>
      <c r="S146" s="102" t="s">
        <v>309</v>
      </c>
      <c r="T146" s="106" t="s">
        <v>410</v>
      </c>
      <c r="U146" s="105" t="s">
        <v>748</v>
      </c>
      <c r="V146" s="105" t="s">
        <v>748</v>
      </c>
      <c r="W146" s="129">
        <f>IFERROR((1/1),"No aplica")</f>
        <v>1</v>
      </c>
      <c r="X146" s="98">
        <f>IFERROR((1/1),"No aplica")</f>
        <v>1</v>
      </c>
      <c r="Y146" s="105" t="s">
        <v>458</v>
      </c>
      <c r="Z146" s="102" t="s">
        <v>948</v>
      </c>
      <c r="AA146" s="102" t="s">
        <v>949</v>
      </c>
      <c r="AB146" s="106" t="s">
        <v>410</v>
      </c>
      <c r="AC146" s="105" t="s">
        <v>748</v>
      </c>
      <c r="AD146" s="105" t="s">
        <v>748</v>
      </c>
      <c r="AE146" s="129">
        <f>IFERROR((1/1),"No aplica")</f>
        <v>1</v>
      </c>
      <c r="AF146" s="98">
        <f>IFERROR((1/1),"No aplica")</f>
        <v>1</v>
      </c>
      <c r="AG146" s="105" t="s">
        <v>458</v>
      </c>
      <c r="AH146" s="102" t="s">
        <v>1280</v>
      </c>
      <c r="AI146" s="102" t="s">
        <v>1280</v>
      </c>
      <c r="AJ146" s="106" t="s">
        <v>410</v>
      </c>
      <c r="AK146" s="105" t="s">
        <v>748</v>
      </c>
      <c r="AL146" s="105" t="s">
        <v>748</v>
      </c>
      <c r="AM146" s="98">
        <f>IFERROR((1/1),"No aplica")</f>
        <v>1</v>
      </c>
      <c r="AN146" s="98">
        <f>IFERROR((1/1),"No aplica")</f>
        <v>1</v>
      </c>
      <c r="AO146" s="105" t="s">
        <v>458</v>
      </c>
      <c r="AP146" s="102" t="s">
        <v>1343</v>
      </c>
      <c r="AQ146" s="102" t="s">
        <v>1344</v>
      </c>
      <c r="AR146" s="206" t="s">
        <v>1500</v>
      </c>
    </row>
    <row r="147" spans="1:44" ht="31.5" x14ac:dyDescent="0.25">
      <c r="A147" s="156"/>
      <c r="B147" s="106"/>
      <c r="C147" s="105"/>
      <c r="D147" s="105"/>
      <c r="E147" s="105"/>
      <c r="F147" s="105"/>
      <c r="G147" s="43" t="s">
        <v>747</v>
      </c>
      <c r="H147" s="15">
        <v>43497</v>
      </c>
      <c r="I147" s="15">
        <v>43646</v>
      </c>
      <c r="J147" s="35" t="s">
        <v>590</v>
      </c>
      <c r="K147" s="108"/>
      <c r="L147" s="108"/>
      <c r="M147" s="105"/>
      <c r="N147" s="105"/>
      <c r="O147" s="98"/>
      <c r="P147" s="98"/>
      <c r="Q147" s="105"/>
      <c r="R147" s="102"/>
      <c r="S147" s="102"/>
      <c r="T147" s="106"/>
      <c r="U147" s="105"/>
      <c r="V147" s="105"/>
      <c r="W147" s="130"/>
      <c r="X147" s="98"/>
      <c r="Y147" s="105"/>
      <c r="Z147" s="102"/>
      <c r="AA147" s="102"/>
      <c r="AB147" s="106"/>
      <c r="AC147" s="105"/>
      <c r="AD147" s="105"/>
      <c r="AE147" s="130"/>
      <c r="AF147" s="98"/>
      <c r="AG147" s="105"/>
      <c r="AH147" s="102"/>
      <c r="AI147" s="102"/>
      <c r="AJ147" s="106"/>
      <c r="AK147" s="105"/>
      <c r="AL147" s="105"/>
      <c r="AM147" s="98"/>
      <c r="AN147" s="98"/>
      <c r="AO147" s="105"/>
      <c r="AP147" s="102"/>
      <c r="AQ147" s="102"/>
      <c r="AR147" s="207"/>
    </row>
    <row r="148" spans="1:44" ht="47.25" x14ac:dyDescent="0.25">
      <c r="A148" s="156"/>
      <c r="B148" s="106"/>
      <c r="C148" s="105"/>
      <c r="D148" s="105"/>
      <c r="E148" s="105"/>
      <c r="F148" s="105"/>
      <c r="G148" s="43" t="s">
        <v>746</v>
      </c>
      <c r="H148" s="15">
        <v>43617</v>
      </c>
      <c r="I148" s="15">
        <v>43646</v>
      </c>
      <c r="J148" s="35" t="s">
        <v>590</v>
      </c>
      <c r="K148" s="108"/>
      <c r="L148" s="108"/>
      <c r="M148" s="105"/>
      <c r="N148" s="105"/>
      <c r="O148" s="98"/>
      <c r="P148" s="98"/>
      <c r="Q148" s="105"/>
      <c r="R148" s="102"/>
      <c r="S148" s="102"/>
      <c r="T148" s="106"/>
      <c r="U148" s="105"/>
      <c r="V148" s="105"/>
      <c r="W148" s="131"/>
      <c r="X148" s="98"/>
      <c r="Y148" s="105"/>
      <c r="Z148" s="102"/>
      <c r="AA148" s="102"/>
      <c r="AB148" s="106"/>
      <c r="AC148" s="105"/>
      <c r="AD148" s="105"/>
      <c r="AE148" s="131"/>
      <c r="AF148" s="98"/>
      <c r="AG148" s="105"/>
      <c r="AH148" s="102"/>
      <c r="AI148" s="102"/>
      <c r="AJ148" s="106"/>
      <c r="AK148" s="105"/>
      <c r="AL148" s="105"/>
      <c r="AM148" s="98"/>
      <c r="AN148" s="98"/>
      <c r="AO148" s="105"/>
      <c r="AP148" s="102"/>
      <c r="AQ148" s="102"/>
      <c r="AR148" s="208"/>
    </row>
    <row r="149" spans="1:44" ht="31.5" x14ac:dyDescent="0.25">
      <c r="A149" s="156" t="s">
        <v>98</v>
      </c>
      <c r="B149" s="106" t="s">
        <v>839</v>
      </c>
      <c r="C149" s="105">
        <v>29</v>
      </c>
      <c r="D149" s="105" t="s">
        <v>1012</v>
      </c>
      <c r="E149" s="105">
        <v>0</v>
      </c>
      <c r="F149" s="105" t="s">
        <v>840</v>
      </c>
      <c r="G149" s="43" t="s">
        <v>780</v>
      </c>
      <c r="H149" s="15">
        <v>43556</v>
      </c>
      <c r="I149" s="15">
        <v>43600</v>
      </c>
      <c r="J149" s="35" t="s">
        <v>590</v>
      </c>
      <c r="K149" s="108" t="s">
        <v>316</v>
      </c>
      <c r="L149" s="108" t="s">
        <v>493</v>
      </c>
      <c r="M149" s="105" t="s">
        <v>494</v>
      </c>
      <c r="N149" s="105" t="s">
        <v>494</v>
      </c>
      <c r="O149" s="98" t="str">
        <f>IFERROR((0/0),"No aplica")</f>
        <v>No aplica</v>
      </c>
      <c r="P149" s="98" t="str">
        <f>IFERROR((0/0),"No aplica")</f>
        <v>No aplica</v>
      </c>
      <c r="Q149" s="105" t="s">
        <v>457</v>
      </c>
      <c r="R149" s="102" t="s">
        <v>485</v>
      </c>
      <c r="S149" s="102" t="s">
        <v>309</v>
      </c>
      <c r="T149" s="106" t="s">
        <v>493</v>
      </c>
      <c r="U149" s="105" t="s">
        <v>749</v>
      </c>
      <c r="V149" s="105" t="s">
        <v>494</v>
      </c>
      <c r="W149" s="98">
        <f>IFERROR((0/40),"No aplica")</f>
        <v>0</v>
      </c>
      <c r="X149" s="98">
        <f>IFERROR((0/100),"No aplica")</f>
        <v>0</v>
      </c>
      <c r="Y149" s="105" t="s">
        <v>474</v>
      </c>
      <c r="Z149" s="102" t="s">
        <v>963</v>
      </c>
      <c r="AA149" s="126" t="s">
        <v>963</v>
      </c>
      <c r="AB149" s="106" t="s">
        <v>493</v>
      </c>
      <c r="AC149" s="105" t="s">
        <v>1234</v>
      </c>
      <c r="AD149" s="105" t="s">
        <v>1277</v>
      </c>
      <c r="AE149" s="98">
        <f>IFERROR((80/60),"No aplica")</f>
        <v>1.3333333333333333</v>
      </c>
      <c r="AF149" s="98">
        <f>IFERROR((80%/100%),"No aplica")</f>
        <v>0.8</v>
      </c>
      <c r="AG149" s="105" t="s">
        <v>531</v>
      </c>
      <c r="AH149" s="102" t="s">
        <v>1232</v>
      </c>
      <c r="AI149" s="126" t="s">
        <v>1233</v>
      </c>
      <c r="AJ149" s="106" t="s">
        <v>493</v>
      </c>
      <c r="AK149" s="105" t="s">
        <v>1345</v>
      </c>
      <c r="AL149" s="209" t="s">
        <v>1346</v>
      </c>
      <c r="AM149" s="98" t="str">
        <f>IFERROR((20%/0%),"No aplica")</f>
        <v>No aplica</v>
      </c>
      <c r="AN149" s="98">
        <f>IFERROR(((80%+20%)/100%),"No aplica")</f>
        <v>1</v>
      </c>
      <c r="AO149" s="105" t="s">
        <v>458</v>
      </c>
      <c r="AP149" s="102" t="s">
        <v>1347</v>
      </c>
      <c r="AQ149" s="102" t="s">
        <v>1501</v>
      </c>
      <c r="AR149" s="206" t="s">
        <v>1501</v>
      </c>
    </row>
    <row r="150" spans="1:44" ht="31.5" x14ac:dyDescent="0.25">
      <c r="A150" s="156"/>
      <c r="B150" s="106"/>
      <c r="C150" s="105"/>
      <c r="D150" s="105"/>
      <c r="E150" s="105"/>
      <c r="F150" s="105"/>
      <c r="G150" s="43" t="s">
        <v>781</v>
      </c>
      <c r="H150" s="15">
        <v>43601</v>
      </c>
      <c r="I150" s="15">
        <v>43830</v>
      </c>
      <c r="J150" s="35" t="s">
        <v>590</v>
      </c>
      <c r="K150" s="108"/>
      <c r="L150" s="108"/>
      <c r="M150" s="105"/>
      <c r="N150" s="105"/>
      <c r="O150" s="98"/>
      <c r="P150" s="98"/>
      <c r="Q150" s="105"/>
      <c r="R150" s="102"/>
      <c r="S150" s="102"/>
      <c r="T150" s="106"/>
      <c r="U150" s="105"/>
      <c r="V150" s="105"/>
      <c r="W150" s="98"/>
      <c r="X150" s="98"/>
      <c r="Y150" s="105"/>
      <c r="Z150" s="102"/>
      <c r="AA150" s="127"/>
      <c r="AB150" s="106"/>
      <c r="AC150" s="105"/>
      <c r="AD150" s="105"/>
      <c r="AE150" s="98"/>
      <c r="AF150" s="98"/>
      <c r="AG150" s="105"/>
      <c r="AH150" s="102"/>
      <c r="AI150" s="127"/>
      <c r="AJ150" s="106"/>
      <c r="AK150" s="105"/>
      <c r="AL150" s="105"/>
      <c r="AM150" s="98"/>
      <c r="AN150" s="98"/>
      <c r="AO150" s="105"/>
      <c r="AP150" s="102"/>
      <c r="AQ150" s="102"/>
      <c r="AR150" s="208"/>
    </row>
    <row r="151" spans="1:44" ht="79.5" customHeight="1" x14ac:dyDescent="0.25">
      <c r="A151" s="156" t="s">
        <v>98</v>
      </c>
      <c r="B151" s="106" t="s">
        <v>839</v>
      </c>
      <c r="C151" s="105">
        <v>30</v>
      </c>
      <c r="D151" s="105" t="s">
        <v>934</v>
      </c>
      <c r="E151" s="169">
        <v>0</v>
      </c>
      <c r="F151" s="105" t="s">
        <v>147</v>
      </c>
      <c r="G151" s="43" t="s">
        <v>952</v>
      </c>
      <c r="H151" s="15">
        <v>43586</v>
      </c>
      <c r="I151" s="15">
        <v>43708</v>
      </c>
      <c r="J151" s="35" t="s">
        <v>590</v>
      </c>
      <c r="K151" s="170" t="s">
        <v>316</v>
      </c>
      <c r="L151" s="170" t="s">
        <v>936</v>
      </c>
      <c r="M151" s="101" t="s">
        <v>937</v>
      </c>
      <c r="N151" s="101" t="s">
        <v>937</v>
      </c>
      <c r="O151" s="100" t="str">
        <f>IFERROR((0%/0%),"No aplica")</f>
        <v>No aplica</v>
      </c>
      <c r="P151" s="100">
        <f>IFERROR((0%/88%),"No aplica")</f>
        <v>0</v>
      </c>
      <c r="Q151" s="101" t="s">
        <v>457</v>
      </c>
      <c r="R151" s="103" t="s">
        <v>485</v>
      </c>
      <c r="S151" s="103" t="s">
        <v>309</v>
      </c>
      <c r="T151" s="110" t="s">
        <v>751</v>
      </c>
      <c r="U151" s="101" t="s">
        <v>750</v>
      </c>
      <c r="V151" s="101" t="s">
        <v>750</v>
      </c>
      <c r="W151" s="100" t="str">
        <f>IFERROR((0%/0%),"No aplica")</f>
        <v>No aplica</v>
      </c>
      <c r="X151" s="100">
        <f>IFERROR((0%/88%),"No aplica")</f>
        <v>0</v>
      </c>
      <c r="Y151" s="101" t="s">
        <v>457</v>
      </c>
      <c r="Z151" s="103" t="s">
        <v>950</v>
      </c>
      <c r="AA151" s="103" t="s">
        <v>951</v>
      </c>
      <c r="AB151" s="110" t="s">
        <v>751</v>
      </c>
      <c r="AC151" s="101" t="s">
        <v>1235</v>
      </c>
      <c r="AD151" s="101" t="s">
        <v>1235</v>
      </c>
      <c r="AE151" s="100">
        <f>IFERROR((50%/50%),"No aplica")</f>
        <v>1</v>
      </c>
      <c r="AF151" s="100">
        <f>IFERROR((50%/88%),"No aplica")</f>
        <v>0.56818181818181823</v>
      </c>
      <c r="AG151" s="101" t="s">
        <v>458</v>
      </c>
      <c r="AH151" s="103" t="s">
        <v>1236</v>
      </c>
      <c r="AI151" s="103" t="s">
        <v>1237</v>
      </c>
      <c r="AJ151" s="110" t="s">
        <v>751</v>
      </c>
      <c r="AK151" s="101" t="s">
        <v>1348</v>
      </c>
      <c r="AL151" s="101" t="s">
        <v>1348</v>
      </c>
      <c r="AM151" s="100">
        <f>IFERROR((38%/38%),"No aplica")</f>
        <v>1</v>
      </c>
      <c r="AN151" s="100">
        <f>IFERROR(((50%+38%)/88%),"No aplica")</f>
        <v>1</v>
      </c>
      <c r="AO151" s="101" t="s">
        <v>458</v>
      </c>
      <c r="AP151" s="103" t="s">
        <v>1515</v>
      </c>
      <c r="AQ151" s="103" t="s">
        <v>1506</v>
      </c>
      <c r="AR151" s="212" t="s">
        <v>1502</v>
      </c>
    </row>
    <row r="152" spans="1:44" ht="79.5" customHeight="1" x14ac:dyDescent="0.25">
      <c r="A152" s="156"/>
      <c r="B152" s="106"/>
      <c r="C152" s="105"/>
      <c r="D152" s="105"/>
      <c r="E152" s="169"/>
      <c r="F152" s="105"/>
      <c r="G152" s="43" t="s">
        <v>935</v>
      </c>
      <c r="H152" s="15">
        <v>43617</v>
      </c>
      <c r="I152" s="15">
        <v>43830</v>
      </c>
      <c r="J152" s="35" t="s">
        <v>590</v>
      </c>
      <c r="K152" s="170"/>
      <c r="L152" s="170"/>
      <c r="M152" s="101"/>
      <c r="N152" s="101"/>
      <c r="O152" s="100"/>
      <c r="P152" s="100"/>
      <c r="Q152" s="101"/>
      <c r="R152" s="103"/>
      <c r="S152" s="103"/>
      <c r="T152" s="110"/>
      <c r="U152" s="101"/>
      <c r="V152" s="101"/>
      <c r="W152" s="100"/>
      <c r="X152" s="100"/>
      <c r="Y152" s="101"/>
      <c r="Z152" s="103"/>
      <c r="AA152" s="103"/>
      <c r="AB152" s="110"/>
      <c r="AC152" s="101"/>
      <c r="AD152" s="101"/>
      <c r="AE152" s="100"/>
      <c r="AF152" s="100"/>
      <c r="AG152" s="101"/>
      <c r="AH152" s="103"/>
      <c r="AI152" s="103"/>
      <c r="AJ152" s="110"/>
      <c r="AK152" s="101"/>
      <c r="AL152" s="101"/>
      <c r="AM152" s="100"/>
      <c r="AN152" s="100"/>
      <c r="AO152" s="101"/>
      <c r="AP152" s="103"/>
      <c r="AQ152" s="103"/>
      <c r="AR152" s="215"/>
    </row>
    <row r="153" spans="1:44" x14ac:dyDescent="0.25">
      <c r="A153" s="92" t="s">
        <v>380</v>
      </c>
      <c r="B153" s="22" t="s">
        <v>380</v>
      </c>
      <c r="C153" s="7"/>
      <c r="D153" s="7" t="s">
        <v>380</v>
      </c>
      <c r="E153" s="7" t="s">
        <v>380</v>
      </c>
      <c r="F153" s="7" t="s">
        <v>380</v>
      </c>
      <c r="G153" s="45" t="s">
        <v>380</v>
      </c>
      <c r="H153" s="7" t="s">
        <v>380</v>
      </c>
      <c r="I153" s="7" t="s">
        <v>380</v>
      </c>
      <c r="J153" s="21" t="s">
        <v>380</v>
      </c>
      <c r="K153" s="29" t="s">
        <v>380</v>
      </c>
      <c r="L153" s="29" t="s">
        <v>380</v>
      </c>
      <c r="M153" s="7" t="s">
        <v>380</v>
      </c>
      <c r="N153" s="7" t="s">
        <v>380</v>
      </c>
      <c r="O153" s="7" t="s">
        <v>380</v>
      </c>
      <c r="P153" s="7" t="s">
        <v>380</v>
      </c>
      <c r="Q153" s="7" t="s">
        <v>380</v>
      </c>
      <c r="R153" s="7" t="s">
        <v>380</v>
      </c>
      <c r="S153" s="7" t="s">
        <v>380</v>
      </c>
      <c r="T153" s="22" t="s">
        <v>380</v>
      </c>
      <c r="U153" s="7" t="s">
        <v>380</v>
      </c>
      <c r="V153" s="7" t="s">
        <v>380</v>
      </c>
      <c r="W153" s="7" t="s">
        <v>380</v>
      </c>
      <c r="X153" s="7" t="s">
        <v>380</v>
      </c>
      <c r="Y153" s="22" t="s">
        <v>380</v>
      </c>
      <c r="Z153" s="81" t="s">
        <v>380</v>
      </c>
      <c r="AA153" s="81" t="s">
        <v>380</v>
      </c>
      <c r="AB153" s="22" t="s">
        <v>380</v>
      </c>
      <c r="AC153" s="7" t="s">
        <v>380</v>
      </c>
      <c r="AD153" s="7" t="s">
        <v>380</v>
      </c>
      <c r="AE153" s="7" t="s">
        <v>380</v>
      </c>
      <c r="AF153" s="71" t="s">
        <v>380</v>
      </c>
      <c r="AG153" s="7" t="s">
        <v>380</v>
      </c>
      <c r="AH153" s="81" t="s">
        <v>380</v>
      </c>
      <c r="AI153" s="81" t="s">
        <v>380</v>
      </c>
      <c r="AJ153" s="22" t="s">
        <v>380</v>
      </c>
      <c r="AK153" s="7" t="s">
        <v>380</v>
      </c>
      <c r="AL153" s="7" t="s">
        <v>380</v>
      </c>
      <c r="AM153" s="7" t="s">
        <v>380</v>
      </c>
      <c r="AN153" s="7" t="s">
        <v>380</v>
      </c>
      <c r="AO153" s="7" t="s">
        <v>380</v>
      </c>
      <c r="AP153" s="81" t="s">
        <v>380</v>
      </c>
      <c r="AQ153" s="81" t="s">
        <v>380</v>
      </c>
      <c r="AR153" s="82" t="s">
        <v>380</v>
      </c>
    </row>
    <row r="154" spans="1:44" ht="31.5" x14ac:dyDescent="0.25">
      <c r="A154" s="156" t="s">
        <v>96</v>
      </c>
      <c r="B154" s="106" t="s">
        <v>263</v>
      </c>
      <c r="C154" s="105">
        <v>31</v>
      </c>
      <c r="D154" s="105" t="s">
        <v>1013</v>
      </c>
      <c r="E154" s="105">
        <v>0</v>
      </c>
      <c r="F154" s="105" t="s">
        <v>841</v>
      </c>
      <c r="G154" s="13" t="s">
        <v>191</v>
      </c>
      <c r="H154" s="15">
        <v>43525</v>
      </c>
      <c r="I154" s="15">
        <v>43554</v>
      </c>
      <c r="J154" s="35" t="s">
        <v>590</v>
      </c>
      <c r="K154" s="108" t="s">
        <v>316</v>
      </c>
      <c r="L154" s="108" t="s">
        <v>752</v>
      </c>
      <c r="M154" s="105" t="s">
        <v>753</v>
      </c>
      <c r="N154" s="105" t="s">
        <v>753</v>
      </c>
      <c r="O154" s="98" t="str">
        <f>IFERROR((0/0),"No aplica")</f>
        <v>No aplica</v>
      </c>
      <c r="P154" s="98">
        <f>IFERROR((0/1),"No aplica")</f>
        <v>0</v>
      </c>
      <c r="Q154" s="105" t="s">
        <v>457</v>
      </c>
      <c r="R154" s="102" t="s">
        <v>485</v>
      </c>
      <c r="S154" s="102" t="s">
        <v>309</v>
      </c>
      <c r="T154" s="106" t="s">
        <v>190</v>
      </c>
      <c r="U154" s="105" t="s">
        <v>753</v>
      </c>
      <c r="V154" s="105" t="s">
        <v>753</v>
      </c>
      <c r="W154" s="98" t="str">
        <f>IFERROR((0/0),"No aplica")</f>
        <v>No aplica</v>
      </c>
      <c r="X154" s="98">
        <f>IFERROR((0/17),"No aplica")</f>
        <v>0</v>
      </c>
      <c r="Y154" s="105" t="s">
        <v>457</v>
      </c>
      <c r="Z154" s="102" t="s">
        <v>954</v>
      </c>
      <c r="AA154" s="102" t="s">
        <v>953</v>
      </c>
      <c r="AB154" s="106" t="s">
        <v>1239</v>
      </c>
      <c r="AC154" s="105" t="s">
        <v>1238</v>
      </c>
      <c r="AD154" s="105" t="s">
        <v>1238</v>
      </c>
      <c r="AE154" s="98">
        <f>IFERROR((10/10),"No aplica")</f>
        <v>1</v>
      </c>
      <c r="AF154" s="98">
        <f>IFERROR((10/17),"No aplica")</f>
        <v>0.58823529411764708</v>
      </c>
      <c r="AG154" s="105" t="s">
        <v>458</v>
      </c>
      <c r="AH154" s="102" t="s">
        <v>1240</v>
      </c>
      <c r="AI154" s="102" t="s">
        <v>1241</v>
      </c>
      <c r="AJ154" s="106" t="s">
        <v>1239</v>
      </c>
      <c r="AK154" s="105" t="s">
        <v>1349</v>
      </c>
      <c r="AL154" s="105" t="s">
        <v>1349</v>
      </c>
      <c r="AM154" s="98">
        <f>IFERROR((7/7),"No aplica")</f>
        <v>1</v>
      </c>
      <c r="AN154" s="98">
        <f>IFERROR((17/17),"No aplica")</f>
        <v>1</v>
      </c>
      <c r="AO154" s="105" t="s">
        <v>458</v>
      </c>
      <c r="AP154" s="102" t="s">
        <v>1350</v>
      </c>
      <c r="AQ154" s="102" t="s">
        <v>1351</v>
      </c>
      <c r="AR154" s="206" t="s">
        <v>1516</v>
      </c>
    </row>
    <row r="155" spans="1:44" ht="31.5" x14ac:dyDescent="0.25">
      <c r="A155" s="156"/>
      <c r="B155" s="106"/>
      <c r="C155" s="105"/>
      <c r="D155" s="105"/>
      <c r="E155" s="105"/>
      <c r="F155" s="105"/>
      <c r="G155" s="43" t="s">
        <v>754</v>
      </c>
      <c r="H155" s="15">
        <v>43570</v>
      </c>
      <c r="I155" s="15">
        <v>43738</v>
      </c>
      <c r="J155" s="35" t="s">
        <v>590</v>
      </c>
      <c r="K155" s="108"/>
      <c r="L155" s="108"/>
      <c r="M155" s="105"/>
      <c r="N155" s="105"/>
      <c r="O155" s="98"/>
      <c r="P155" s="98"/>
      <c r="Q155" s="105"/>
      <c r="R155" s="102"/>
      <c r="S155" s="102"/>
      <c r="T155" s="106"/>
      <c r="U155" s="105"/>
      <c r="V155" s="105"/>
      <c r="W155" s="98"/>
      <c r="X155" s="98"/>
      <c r="Y155" s="105"/>
      <c r="Z155" s="102"/>
      <c r="AA155" s="102"/>
      <c r="AB155" s="106"/>
      <c r="AC155" s="105"/>
      <c r="AD155" s="105"/>
      <c r="AE155" s="98"/>
      <c r="AF155" s="98"/>
      <c r="AG155" s="105"/>
      <c r="AH155" s="102"/>
      <c r="AI155" s="102"/>
      <c r="AJ155" s="106"/>
      <c r="AK155" s="105"/>
      <c r="AL155" s="105"/>
      <c r="AM155" s="98"/>
      <c r="AN155" s="98"/>
      <c r="AO155" s="105"/>
      <c r="AP155" s="102"/>
      <c r="AQ155" s="102"/>
      <c r="AR155" s="207"/>
    </row>
    <row r="156" spans="1:44" ht="31.5" x14ac:dyDescent="0.25">
      <c r="A156" s="156"/>
      <c r="B156" s="106"/>
      <c r="C156" s="105"/>
      <c r="D156" s="105"/>
      <c r="E156" s="105"/>
      <c r="F156" s="105"/>
      <c r="G156" s="43" t="s">
        <v>755</v>
      </c>
      <c r="H156" s="15">
        <v>43739</v>
      </c>
      <c r="I156" s="15">
        <v>43830</v>
      </c>
      <c r="J156" s="35" t="s">
        <v>590</v>
      </c>
      <c r="K156" s="108"/>
      <c r="L156" s="108"/>
      <c r="M156" s="105"/>
      <c r="N156" s="105"/>
      <c r="O156" s="98"/>
      <c r="P156" s="98"/>
      <c r="Q156" s="105"/>
      <c r="R156" s="102"/>
      <c r="S156" s="102"/>
      <c r="T156" s="106"/>
      <c r="U156" s="105"/>
      <c r="V156" s="105"/>
      <c r="W156" s="98"/>
      <c r="X156" s="98"/>
      <c r="Y156" s="105"/>
      <c r="Z156" s="102"/>
      <c r="AA156" s="102"/>
      <c r="AB156" s="106"/>
      <c r="AC156" s="105"/>
      <c r="AD156" s="105"/>
      <c r="AE156" s="98"/>
      <c r="AF156" s="98"/>
      <c r="AG156" s="105"/>
      <c r="AH156" s="102"/>
      <c r="AI156" s="102"/>
      <c r="AJ156" s="106"/>
      <c r="AK156" s="105"/>
      <c r="AL156" s="105"/>
      <c r="AM156" s="98"/>
      <c r="AN156" s="98"/>
      <c r="AO156" s="105"/>
      <c r="AP156" s="102"/>
      <c r="AQ156" s="102"/>
      <c r="AR156" s="208"/>
    </row>
    <row r="157" spans="1:44" ht="53.25" customHeight="1" x14ac:dyDescent="0.25">
      <c r="A157" s="156" t="s">
        <v>96</v>
      </c>
      <c r="B157" s="106" t="s">
        <v>263</v>
      </c>
      <c r="C157" s="105">
        <v>32</v>
      </c>
      <c r="D157" s="105" t="s">
        <v>1014</v>
      </c>
      <c r="E157" s="105">
        <v>0</v>
      </c>
      <c r="F157" s="105" t="s">
        <v>411</v>
      </c>
      <c r="G157" s="43" t="s">
        <v>192</v>
      </c>
      <c r="H157" s="15">
        <v>43620</v>
      </c>
      <c r="I157" s="15">
        <v>43600</v>
      </c>
      <c r="J157" s="35" t="s">
        <v>590</v>
      </c>
      <c r="K157" s="108" t="s">
        <v>318</v>
      </c>
      <c r="L157" s="108" t="s">
        <v>756</v>
      </c>
      <c r="M157" s="105" t="s">
        <v>757</v>
      </c>
      <c r="N157" s="105" t="s">
        <v>757</v>
      </c>
      <c r="O157" s="98" t="str">
        <f>IFERROR((0/0),"No aplica")</f>
        <v>No aplica</v>
      </c>
      <c r="P157" s="98">
        <f>IFERROR((0/81),"No aplica")</f>
        <v>0</v>
      </c>
      <c r="Q157" s="105" t="s">
        <v>457</v>
      </c>
      <c r="R157" s="102" t="s">
        <v>485</v>
      </c>
      <c r="S157" s="102" t="s">
        <v>309</v>
      </c>
      <c r="T157" s="106" t="s">
        <v>756</v>
      </c>
      <c r="U157" s="105" t="s">
        <v>759</v>
      </c>
      <c r="V157" s="105" t="s">
        <v>955</v>
      </c>
      <c r="W157" s="98">
        <f>IFERROR((50/10),"No aplica")</f>
        <v>5</v>
      </c>
      <c r="X157" s="98">
        <f>IFERROR((50/81),"No aplica")</f>
        <v>0.61728395061728392</v>
      </c>
      <c r="Y157" s="105" t="s">
        <v>468</v>
      </c>
      <c r="Z157" s="102" t="s">
        <v>1518</v>
      </c>
      <c r="AA157" s="102" t="s">
        <v>985</v>
      </c>
      <c r="AB157" s="106" t="s">
        <v>756</v>
      </c>
      <c r="AC157" s="105" t="s">
        <v>1242</v>
      </c>
      <c r="AD157" s="105" t="s">
        <v>1243</v>
      </c>
      <c r="AE157" s="98">
        <f>IFERROR((111/37),"No aplica")</f>
        <v>3</v>
      </c>
      <c r="AF157" s="98">
        <f>IFERROR(((50+111)/81),"No aplica")</f>
        <v>1.9876543209876543</v>
      </c>
      <c r="AG157" s="105" t="s">
        <v>468</v>
      </c>
      <c r="AH157" s="102" t="s">
        <v>1245</v>
      </c>
      <c r="AI157" s="102" t="s">
        <v>1244</v>
      </c>
      <c r="AJ157" s="106" t="s">
        <v>756</v>
      </c>
      <c r="AK157" s="105" t="s">
        <v>1352</v>
      </c>
      <c r="AL157" s="105" t="s">
        <v>1507</v>
      </c>
      <c r="AM157" s="98">
        <f>IFERROR((62/34),"No aplica")</f>
        <v>1.8235294117647058</v>
      </c>
      <c r="AN157" s="98">
        <f>IFERROR(((50+111+62)/81),"No aplica")</f>
        <v>2.7530864197530862</v>
      </c>
      <c r="AO157" s="105" t="s">
        <v>468</v>
      </c>
      <c r="AP157" s="102" t="s">
        <v>1517</v>
      </c>
      <c r="AQ157" s="102" t="s">
        <v>1353</v>
      </c>
      <c r="AR157" s="206" t="s">
        <v>1503</v>
      </c>
    </row>
    <row r="158" spans="1:44" ht="53.25" customHeight="1" x14ac:dyDescent="0.25">
      <c r="A158" s="156"/>
      <c r="B158" s="106"/>
      <c r="C158" s="105"/>
      <c r="D158" s="105"/>
      <c r="E158" s="105"/>
      <c r="F158" s="105"/>
      <c r="G158" s="43" t="s">
        <v>758</v>
      </c>
      <c r="H158" s="15">
        <v>43620</v>
      </c>
      <c r="I158" s="15">
        <v>43799</v>
      </c>
      <c r="J158" s="35" t="s">
        <v>590</v>
      </c>
      <c r="K158" s="108"/>
      <c r="L158" s="108"/>
      <c r="M158" s="105"/>
      <c r="N158" s="105"/>
      <c r="O158" s="98"/>
      <c r="P158" s="98"/>
      <c r="Q158" s="105"/>
      <c r="R158" s="102"/>
      <c r="S158" s="102"/>
      <c r="T158" s="106"/>
      <c r="U158" s="105"/>
      <c r="V158" s="105"/>
      <c r="W158" s="98"/>
      <c r="X158" s="98"/>
      <c r="Y158" s="105"/>
      <c r="Z158" s="102"/>
      <c r="AA158" s="102"/>
      <c r="AB158" s="106"/>
      <c r="AC158" s="105"/>
      <c r="AD158" s="105"/>
      <c r="AE158" s="98"/>
      <c r="AF158" s="98"/>
      <c r="AG158" s="105"/>
      <c r="AH158" s="102"/>
      <c r="AI158" s="102"/>
      <c r="AJ158" s="106"/>
      <c r="AK158" s="105"/>
      <c r="AL158" s="105"/>
      <c r="AM158" s="98"/>
      <c r="AN158" s="98"/>
      <c r="AO158" s="105"/>
      <c r="AP158" s="102"/>
      <c r="AQ158" s="102"/>
      <c r="AR158" s="208"/>
    </row>
    <row r="159" spans="1:44" ht="31.5" x14ac:dyDescent="0.25">
      <c r="A159" s="156" t="s">
        <v>99</v>
      </c>
      <c r="B159" s="106" t="s">
        <v>264</v>
      </c>
      <c r="C159" s="105">
        <v>33</v>
      </c>
      <c r="D159" s="105" t="s">
        <v>1015</v>
      </c>
      <c r="E159" s="105">
        <v>0</v>
      </c>
      <c r="F159" s="105" t="s">
        <v>447</v>
      </c>
      <c r="G159" s="43" t="s">
        <v>266</v>
      </c>
      <c r="H159" s="15">
        <v>43556</v>
      </c>
      <c r="I159" s="15">
        <v>43769</v>
      </c>
      <c r="J159" s="35" t="s">
        <v>590</v>
      </c>
      <c r="K159" s="108" t="s">
        <v>319</v>
      </c>
      <c r="L159" s="108" t="s">
        <v>1052</v>
      </c>
      <c r="M159" s="105" t="s">
        <v>760</v>
      </c>
      <c r="N159" s="105" t="s">
        <v>760</v>
      </c>
      <c r="O159" s="98" t="str">
        <f>IFERROR((0/0),"No aplica")</f>
        <v>No aplica</v>
      </c>
      <c r="P159" s="98">
        <f>IFERROR((0/1800),"No aplica")</f>
        <v>0</v>
      </c>
      <c r="Q159" s="105" t="s">
        <v>457</v>
      </c>
      <c r="R159" s="102" t="s">
        <v>485</v>
      </c>
      <c r="S159" s="102" t="s">
        <v>309</v>
      </c>
      <c r="T159" s="106" t="s">
        <v>1052</v>
      </c>
      <c r="U159" s="105" t="s">
        <v>761</v>
      </c>
      <c r="V159" s="105" t="s">
        <v>958</v>
      </c>
      <c r="W159" s="98">
        <f>IFERROR((41/120),"No aplica")</f>
        <v>0.34166666666666667</v>
      </c>
      <c r="X159" s="98">
        <f>IFERROR((41/1800),"No aplica")</f>
        <v>2.2777777777777779E-2</v>
      </c>
      <c r="Y159" s="105" t="s">
        <v>474</v>
      </c>
      <c r="Z159" s="102" t="s">
        <v>956</v>
      </c>
      <c r="AA159" s="102" t="s">
        <v>957</v>
      </c>
      <c r="AB159" s="106" t="s">
        <v>1052</v>
      </c>
      <c r="AC159" s="105" t="s">
        <v>1054</v>
      </c>
      <c r="AD159" s="105" t="s">
        <v>1246</v>
      </c>
      <c r="AE159" s="98">
        <f>IFERROR((394/360),"No aplica")</f>
        <v>1.0944444444444446</v>
      </c>
      <c r="AF159" s="98">
        <f>IFERROR(((41+394)/720),"No aplica")</f>
        <v>0.60416666666666663</v>
      </c>
      <c r="AG159" s="105" t="s">
        <v>458</v>
      </c>
      <c r="AH159" s="102" t="s">
        <v>1520</v>
      </c>
      <c r="AI159" s="102" t="s">
        <v>1247</v>
      </c>
      <c r="AJ159" s="106" t="s">
        <v>1052</v>
      </c>
      <c r="AK159" s="105" t="s">
        <v>1354</v>
      </c>
      <c r="AL159" s="105" t="s">
        <v>1355</v>
      </c>
      <c r="AM159" s="98">
        <f>IFERROR((341/240),"No aplica")</f>
        <v>1.4208333333333334</v>
      </c>
      <c r="AN159" s="98">
        <f>IFERROR(((41+394+341)/720),"No aplica")</f>
        <v>1.0777777777777777</v>
      </c>
      <c r="AO159" s="105" t="s">
        <v>468</v>
      </c>
      <c r="AP159" s="102" t="s">
        <v>1519</v>
      </c>
      <c r="AQ159" s="102" t="s">
        <v>1356</v>
      </c>
      <c r="AR159" s="206" t="s">
        <v>1504</v>
      </c>
    </row>
    <row r="160" spans="1:44" ht="31.5" x14ac:dyDescent="0.25">
      <c r="A160" s="156"/>
      <c r="B160" s="106"/>
      <c r="C160" s="105"/>
      <c r="D160" s="105"/>
      <c r="E160" s="105"/>
      <c r="F160" s="105"/>
      <c r="G160" s="43" t="s">
        <v>448</v>
      </c>
      <c r="H160" s="15">
        <v>43570</v>
      </c>
      <c r="I160" s="15">
        <v>43807</v>
      </c>
      <c r="J160" s="35" t="s">
        <v>590</v>
      </c>
      <c r="K160" s="108"/>
      <c r="L160" s="108"/>
      <c r="M160" s="105"/>
      <c r="N160" s="105"/>
      <c r="O160" s="98"/>
      <c r="P160" s="98"/>
      <c r="Q160" s="105"/>
      <c r="R160" s="102"/>
      <c r="S160" s="102"/>
      <c r="T160" s="106"/>
      <c r="U160" s="105"/>
      <c r="V160" s="105"/>
      <c r="W160" s="98"/>
      <c r="X160" s="98"/>
      <c r="Y160" s="105"/>
      <c r="Z160" s="102"/>
      <c r="AA160" s="102"/>
      <c r="AB160" s="106"/>
      <c r="AC160" s="105"/>
      <c r="AD160" s="105"/>
      <c r="AE160" s="98"/>
      <c r="AF160" s="98"/>
      <c r="AG160" s="105"/>
      <c r="AH160" s="102"/>
      <c r="AI160" s="102"/>
      <c r="AJ160" s="106"/>
      <c r="AK160" s="105"/>
      <c r="AL160" s="105"/>
      <c r="AM160" s="98"/>
      <c r="AN160" s="98"/>
      <c r="AO160" s="105"/>
      <c r="AP160" s="102"/>
      <c r="AQ160" s="102"/>
      <c r="AR160" s="207"/>
    </row>
    <row r="161" spans="1:44" ht="31.5" x14ac:dyDescent="0.25">
      <c r="A161" s="156"/>
      <c r="B161" s="106"/>
      <c r="C161" s="105"/>
      <c r="D161" s="105"/>
      <c r="E161" s="105"/>
      <c r="F161" s="105"/>
      <c r="G161" s="43" t="s">
        <v>204</v>
      </c>
      <c r="H161" s="15">
        <v>43586</v>
      </c>
      <c r="I161" s="15">
        <v>43807</v>
      </c>
      <c r="J161" s="35" t="s">
        <v>590</v>
      </c>
      <c r="K161" s="108"/>
      <c r="L161" s="108"/>
      <c r="M161" s="105"/>
      <c r="N161" s="105"/>
      <c r="O161" s="98"/>
      <c r="P161" s="98"/>
      <c r="Q161" s="105"/>
      <c r="R161" s="102"/>
      <c r="S161" s="102"/>
      <c r="T161" s="106"/>
      <c r="U161" s="105"/>
      <c r="V161" s="105"/>
      <c r="W161" s="98"/>
      <c r="X161" s="98"/>
      <c r="Y161" s="105"/>
      <c r="Z161" s="102"/>
      <c r="AA161" s="102"/>
      <c r="AB161" s="106"/>
      <c r="AC161" s="105"/>
      <c r="AD161" s="105"/>
      <c r="AE161" s="98"/>
      <c r="AF161" s="98"/>
      <c r="AG161" s="105"/>
      <c r="AH161" s="102"/>
      <c r="AI161" s="102"/>
      <c r="AJ161" s="106"/>
      <c r="AK161" s="105"/>
      <c r="AL161" s="105"/>
      <c r="AM161" s="98"/>
      <c r="AN161" s="98"/>
      <c r="AO161" s="105"/>
      <c r="AP161" s="102"/>
      <c r="AQ161" s="102"/>
      <c r="AR161" s="207"/>
    </row>
    <row r="162" spans="1:44" ht="47.25" x14ac:dyDescent="0.25">
      <c r="A162" s="156"/>
      <c r="B162" s="106"/>
      <c r="C162" s="105"/>
      <c r="D162" s="105"/>
      <c r="E162" s="105"/>
      <c r="F162" s="105"/>
      <c r="G162" s="43" t="s">
        <v>449</v>
      </c>
      <c r="H162" s="15">
        <v>43586</v>
      </c>
      <c r="I162" s="15">
        <v>43807</v>
      </c>
      <c r="J162" s="35" t="s">
        <v>590</v>
      </c>
      <c r="K162" s="108"/>
      <c r="L162" s="108"/>
      <c r="M162" s="105"/>
      <c r="N162" s="105"/>
      <c r="O162" s="98"/>
      <c r="P162" s="98"/>
      <c r="Q162" s="105"/>
      <c r="R162" s="102"/>
      <c r="S162" s="102"/>
      <c r="T162" s="106"/>
      <c r="U162" s="105"/>
      <c r="V162" s="105"/>
      <c r="W162" s="98"/>
      <c r="X162" s="98"/>
      <c r="Y162" s="105"/>
      <c r="Z162" s="102"/>
      <c r="AA162" s="102"/>
      <c r="AB162" s="106"/>
      <c r="AC162" s="105"/>
      <c r="AD162" s="105"/>
      <c r="AE162" s="98"/>
      <c r="AF162" s="98"/>
      <c r="AG162" s="105"/>
      <c r="AH162" s="102"/>
      <c r="AI162" s="102"/>
      <c r="AJ162" s="106"/>
      <c r="AK162" s="105"/>
      <c r="AL162" s="105"/>
      <c r="AM162" s="98"/>
      <c r="AN162" s="98"/>
      <c r="AO162" s="105"/>
      <c r="AP162" s="102"/>
      <c r="AQ162" s="102"/>
      <c r="AR162" s="207"/>
    </row>
    <row r="163" spans="1:44" ht="31.5" x14ac:dyDescent="0.25">
      <c r="A163" s="156"/>
      <c r="B163" s="106"/>
      <c r="C163" s="105"/>
      <c r="D163" s="105"/>
      <c r="E163" s="105"/>
      <c r="F163" s="105"/>
      <c r="G163" s="43" t="s">
        <v>450</v>
      </c>
      <c r="H163" s="15">
        <v>43586</v>
      </c>
      <c r="I163" s="15">
        <v>43807</v>
      </c>
      <c r="J163" s="36" t="s">
        <v>590</v>
      </c>
      <c r="K163" s="108"/>
      <c r="L163" s="108"/>
      <c r="M163" s="105"/>
      <c r="N163" s="105"/>
      <c r="O163" s="98"/>
      <c r="P163" s="98"/>
      <c r="Q163" s="105"/>
      <c r="R163" s="102"/>
      <c r="S163" s="102"/>
      <c r="T163" s="106"/>
      <c r="U163" s="105"/>
      <c r="V163" s="105"/>
      <c r="W163" s="98"/>
      <c r="X163" s="98"/>
      <c r="Y163" s="105"/>
      <c r="Z163" s="102"/>
      <c r="AA163" s="102"/>
      <c r="AB163" s="106"/>
      <c r="AC163" s="105"/>
      <c r="AD163" s="105"/>
      <c r="AE163" s="98"/>
      <c r="AF163" s="98"/>
      <c r="AG163" s="105"/>
      <c r="AH163" s="102"/>
      <c r="AI163" s="102"/>
      <c r="AJ163" s="106"/>
      <c r="AK163" s="105"/>
      <c r="AL163" s="105"/>
      <c r="AM163" s="98"/>
      <c r="AN163" s="98"/>
      <c r="AO163" s="105"/>
      <c r="AP163" s="102"/>
      <c r="AQ163" s="102"/>
      <c r="AR163" s="207"/>
    </row>
    <row r="164" spans="1:44" ht="47.25" x14ac:dyDescent="0.25">
      <c r="A164" s="156"/>
      <c r="B164" s="106"/>
      <c r="C164" s="105"/>
      <c r="D164" s="105"/>
      <c r="E164" s="105"/>
      <c r="F164" s="105"/>
      <c r="G164" s="43" t="s">
        <v>205</v>
      </c>
      <c r="H164" s="15">
        <v>43586</v>
      </c>
      <c r="I164" s="15">
        <v>43807</v>
      </c>
      <c r="J164" s="35" t="s">
        <v>590</v>
      </c>
      <c r="K164" s="108"/>
      <c r="L164" s="108"/>
      <c r="M164" s="105"/>
      <c r="N164" s="105"/>
      <c r="O164" s="98"/>
      <c r="P164" s="98"/>
      <c r="Q164" s="105"/>
      <c r="R164" s="102"/>
      <c r="S164" s="102"/>
      <c r="T164" s="106"/>
      <c r="U164" s="105"/>
      <c r="V164" s="105"/>
      <c r="W164" s="98"/>
      <c r="X164" s="98"/>
      <c r="Y164" s="105"/>
      <c r="Z164" s="102"/>
      <c r="AA164" s="102"/>
      <c r="AB164" s="106"/>
      <c r="AC164" s="105"/>
      <c r="AD164" s="105"/>
      <c r="AE164" s="98"/>
      <c r="AF164" s="98"/>
      <c r="AG164" s="105"/>
      <c r="AH164" s="102"/>
      <c r="AI164" s="102"/>
      <c r="AJ164" s="106"/>
      <c r="AK164" s="105"/>
      <c r="AL164" s="105"/>
      <c r="AM164" s="98"/>
      <c r="AN164" s="98"/>
      <c r="AO164" s="105"/>
      <c r="AP164" s="102"/>
      <c r="AQ164" s="102"/>
      <c r="AR164" s="208"/>
    </row>
    <row r="165" spans="1:44" ht="31.5" x14ac:dyDescent="0.25">
      <c r="A165" s="156" t="s">
        <v>99</v>
      </c>
      <c r="B165" s="106" t="s">
        <v>264</v>
      </c>
      <c r="C165" s="105">
        <v>34</v>
      </c>
      <c r="D165" s="105" t="s">
        <v>1016</v>
      </c>
      <c r="E165" s="105">
        <v>0</v>
      </c>
      <c r="F165" s="105" t="s">
        <v>445</v>
      </c>
      <c r="G165" s="43" t="s">
        <v>206</v>
      </c>
      <c r="H165" s="15">
        <v>43617</v>
      </c>
      <c r="I165" s="15">
        <v>43770</v>
      </c>
      <c r="J165" s="35" t="s">
        <v>590</v>
      </c>
      <c r="K165" s="108" t="s">
        <v>319</v>
      </c>
      <c r="L165" s="108" t="s">
        <v>1055</v>
      </c>
      <c r="M165" s="105" t="s">
        <v>762</v>
      </c>
      <c r="N165" s="105" t="s">
        <v>762</v>
      </c>
      <c r="O165" s="98" t="str">
        <f>IFERROR((0/0),"No aplica")</f>
        <v>No aplica</v>
      </c>
      <c r="P165" s="98">
        <f>IFERROR((0/27),"No aplica")</f>
        <v>0</v>
      </c>
      <c r="Q165" s="105" t="s">
        <v>457</v>
      </c>
      <c r="R165" s="102" t="s">
        <v>485</v>
      </c>
      <c r="S165" s="102" t="s">
        <v>309</v>
      </c>
      <c r="T165" s="106" t="s">
        <v>1055</v>
      </c>
      <c r="U165" s="105" t="s">
        <v>762</v>
      </c>
      <c r="V165" s="105" t="s">
        <v>762</v>
      </c>
      <c r="W165" s="98" t="str">
        <f>IFERROR((0/0),"No aplica")</f>
        <v>No aplica</v>
      </c>
      <c r="X165" s="98">
        <f>IFERROR((0/27),"No aplica")</f>
        <v>0</v>
      </c>
      <c r="Y165" s="105" t="s">
        <v>457</v>
      </c>
      <c r="Z165" s="102" t="s">
        <v>959</v>
      </c>
      <c r="AA165" s="102" t="s">
        <v>960</v>
      </c>
      <c r="AB165" s="106" t="s">
        <v>1055</v>
      </c>
      <c r="AC165" s="105" t="s">
        <v>762</v>
      </c>
      <c r="AD165" s="105" t="s">
        <v>1248</v>
      </c>
      <c r="AE165" s="98" t="str">
        <f>IFERROR((2/0),"No aplica")</f>
        <v>No aplica</v>
      </c>
      <c r="AF165" s="98">
        <f>IFERROR((2/20),"No aplica")</f>
        <v>0.1</v>
      </c>
      <c r="AG165" s="105" t="s">
        <v>458</v>
      </c>
      <c r="AH165" s="102" t="s">
        <v>1249</v>
      </c>
      <c r="AI165" s="102" t="s">
        <v>1250</v>
      </c>
      <c r="AJ165" s="106" t="s">
        <v>1055</v>
      </c>
      <c r="AK165" s="105" t="s">
        <v>1055</v>
      </c>
      <c r="AL165" s="105" t="s">
        <v>1357</v>
      </c>
      <c r="AM165" s="98">
        <f>IFERROR((18/20),"No aplica")</f>
        <v>0.9</v>
      </c>
      <c r="AN165" s="98">
        <f>IFERROR((20/20),"No aplica")</f>
        <v>1</v>
      </c>
      <c r="AO165" s="105" t="s">
        <v>458</v>
      </c>
      <c r="AP165" s="102" t="s">
        <v>1358</v>
      </c>
      <c r="AQ165" s="102" t="s">
        <v>1359</v>
      </c>
      <c r="AR165" s="206" t="s">
        <v>1505</v>
      </c>
    </row>
    <row r="166" spans="1:44" ht="31.5" x14ac:dyDescent="0.25">
      <c r="A166" s="156"/>
      <c r="B166" s="106"/>
      <c r="C166" s="105"/>
      <c r="D166" s="105"/>
      <c r="E166" s="105"/>
      <c r="F166" s="105"/>
      <c r="G166" s="43" t="s">
        <v>207</v>
      </c>
      <c r="H166" s="15">
        <v>43617</v>
      </c>
      <c r="I166" s="15">
        <v>43770</v>
      </c>
      <c r="J166" s="35" t="s">
        <v>590</v>
      </c>
      <c r="K166" s="108"/>
      <c r="L166" s="108"/>
      <c r="M166" s="105"/>
      <c r="N166" s="105"/>
      <c r="O166" s="98"/>
      <c r="P166" s="98"/>
      <c r="Q166" s="105"/>
      <c r="R166" s="102"/>
      <c r="S166" s="102"/>
      <c r="T166" s="106"/>
      <c r="U166" s="105"/>
      <c r="V166" s="105"/>
      <c r="W166" s="98"/>
      <c r="X166" s="98"/>
      <c r="Y166" s="105"/>
      <c r="Z166" s="102"/>
      <c r="AA166" s="102"/>
      <c r="AB166" s="106"/>
      <c r="AC166" s="105"/>
      <c r="AD166" s="105"/>
      <c r="AE166" s="98"/>
      <c r="AF166" s="98"/>
      <c r="AG166" s="105"/>
      <c r="AH166" s="102"/>
      <c r="AI166" s="102"/>
      <c r="AJ166" s="106"/>
      <c r="AK166" s="105"/>
      <c r="AL166" s="105"/>
      <c r="AM166" s="98"/>
      <c r="AN166" s="98"/>
      <c r="AO166" s="105"/>
      <c r="AP166" s="102"/>
      <c r="AQ166" s="102"/>
      <c r="AR166" s="207"/>
    </row>
    <row r="167" spans="1:44" ht="31.5" x14ac:dyDescent="0.25">
      <c r="A167" s="156"/>
      <c r="B167" s="106"/>
      <c r="C167" s="105"/>
      <c r="D167" s="105"/>
      <c r="E167" s="105"/>
      <c r="F167" s="105"/>
      <c r="G167" s="43" t="s">
        <v>217</v>
      </c>
      <c r="H167" s="15">
        <v>43617</v>
      </c>
      <c r="I167" s="15">
        <v>43770</v>
      </c>
      <c r="J167" s="35" t="s">
        <v>590</v>
      </c>
      <c r="K167" s="108"/>
      <c r="L167" s="108"/>
      <c r="M167" s="105"/>
      <c r="N167" s="105"/>
      <c r="O167" s="98"/>
      <c r="P167" s="98"/>
      <c r="Q167" s="105"/>
      <c r="R167" s="102"/>
      <c r="S167" s="102"/>
      <c r="T167" s="106"/>
      <c r="U167" s="105"/>
      <c r="V167" s="105"/>
      <c r="W167" s="98"/>
      <c r="X167" s="98"/>
      <c r="Y167" s="105"/>
      <c r="Z167" s="102"/>
      <c r="AA167" s="102"/>
      <c r="AB167" s="106"/>
      <c r="AC167" s="105"/>
      <c r="AD167" s="105"/>
      <c r="AE167" s="98"/>
      <c r="AF167" s="98"/>
      <c r="AG167" s="105"/>
      <c r="AH167" s="102"/>
      <c r="AI167" s="102"/>
      <c r="AJ167" s="106"/>
      <c r="AK167" s="105"/>
      <c r="AL167" s="105"/>
      <c r="AM167" s="98"/>
      <c r="AN167" s="98"/>
      <c r="AO167" s="105"/>
      <c r="AP167" s="102"/>
      <c r="AQ167" s="102"/>
      <c r="AR167" s="207"/>
    </row>
    <row r="168" spans="1:44" ht="47.25" x14ac:dyDescent="0.25">
      <c r="A168" s="156"/>
      <c r="B168" s="106"/>
      <c r="C168" s="105"/>
      <c r="D168" s="105"/>
      <c r="E168" s="105"/>
      <c r="F168" s="105"/>
      <c r="G168" s="43" t="s">
        <v>446</v>
      </c>
      <c r="H168" s="15">
        <v>43647</v>
      </c>
      <c r="I168" s="15">
        <v>43799</v>
      </c>
      <c r="J168" s="35" t="s">
        <v>590</v>
      </c>
      <c r="K168" s="108"/>
      <c r="L168" s="108"/>
      <c r="M168" s="105"/>
      <c r="N168" s="105"/>
      <c r="O168" s="98"/>
      <c r="P168" s="98"/>
      <c r="Q168" s="105"/>
      <c r="R168" s="102"/>
      <c r="S168" s="102"/>
      <c r="T168" s="106"/>
      <c r="U168" s="105"/>
      <c r="V168" s="105"/>
      <c r="W168" s="98"/>
      <c r="X168" s="98"/>
      <c r="Y168" s="105"/>
      <c r="Z168" s="102"/>
      <c r="AA168" s="102"/>
      <c r="AB168" s="106"/>
      <c r="AC168" s="105"/>
      <c r="AD168" s="105"/>
      <c r="AE168" s="98"/>
      <c r="AF168" s="98"/>
      <c r="AG168" s="105"/>
      <c r="AH168" s="102"/>
      <c r="AI168" s="102"/>
      <c r="AJ168" s="106"/>
      <c r="AK168" s="105"/>
      <c r="AL168" s="105"/>
      <c r="AM168" s="98"/>
      <c r="AN168" s="98"/>
      <c r="AO168" s="105"/>
      <c r="AP168" s="102"/>
      <c r="AQ168" s="102"/>
      <c r="AR168" s="208"/>
    </row>
    <row r="169" spans="1:44" ht="31.5" x14ac:dyDescent="0.25">
      <c r="A169" s="156" t="s">
        <v>98</v>
      </c>
      <c r="B169" s="106" t="s">
        <v>265</v>
      </c>
      <c r="C169" s="105">
        <v>36</v>
      </c>
      <c r="D169" s="105" t="s">
        <v>1017</v>
      </c>
      <c r="E169" s="105">
        <v>0</v>
      </c>
      <c r="F169" s="105" t="s">
        <v>842</v>
      </c>
      <c r="G169" s="43" t="s">
        <v>413</v>
      </c>
      <c r="H169" s="15">
        <v>43620</v>
      </c>
      <c r="I169" s="15">
        <v>43814</v>
      </c>
      <c r="J169" s="35" t="s">
        <v>590</v>
      </c>
      <c r="K169" s="108" t="s">
        <v>320</v>
      </c>
      <c r="L169" s="108" t="s">
        <v>1064</v>
      </c>
      <c r="M169" s="105" t="s">
        <v>495</v>
      </c>
      <c r="N169" s="105" t="s">
        <v>495</v>
      </c>
      <c r="O169" s="98" t="str">
        <f>IFERROR((0/0),"No aplica")</f>
        <v>No aplica</v>
      </c>
      <c r="P169" s="98">
        <f>IFERROR((0/10),"No aplica")</f>
        <v>0</v>
      </c>
      <c r="Q169" s="105" t="s">
        <v>457</v>
      </c>
      <c r="R169" s="102" t="s">
        <v>485</v>
      </c>
      <c r="S169" s="102" t="s">
        <v>309</v>
      </c>
      <c r="T169" s="106" t="s">
        <v>1064</v>
      </c>
      <c r="U169" s="105" t="s">
        <v>495</v>
      </c>
      <c r="V169" s="105" t="s">
        <v>495</v>
      </c>
      <c r="W169" s="98" t="str">
        <f>IFERROR((0/0),"No aplica")</f>
        <v>No aplica</v>
      </c>
      <c r="X169" s="98">
        <f>IFERROR((0/10),"No aplica")</f>
        <v>0</v>
      </c>
      <c r="Y169" s="105" t="s">
        <v>457</v>
      </c>
      <c r="Z169" s="102" t="s">
        <v>961</v>
      </c>
      <c r="AA169" s="102" t="s">
        <v>962</v>
      </c>
      <c r="AB169" s="106" t="s">
        <v>1064</v>
      </c>
      <c r="AC169" s="105" t="s">
        <v>495</v>
      </c>
      <c r="AD169" s="105" t="s">
        <v>495</v>
      </c>
      <c r="AE169" s="98" t="str">
        <f>IFERROR((0/0),"No aplica")</f>
        <v>No aplica</v>
      </c>
      <c r="AF169" s="98">
        <f>IFERROR((0/10),"No aplica")</f>
        <v>0</v>
      </c>
      <c r="AG169" s="105" t="s">
        <v>457</v>
      </c>
      <c r="AH169" s="126" t="s">
        <v>1251</v>
      </c>
      <c r="AI169" s="102" t="s">
        <v>1252</v>
      </c>
      <c r="AJ169" s="106" t="s">
        <v>1064</v>
      </c>
      <c r="AK169" s="105" t="s">
        <v>1064</v>
      </c>
      <c r="AL169" s="105" t="s">
        <v>1064</v>
      </c>
      <c r="AM169" s="98">
        <f>IFERROR((10/10),"No aplica")</f>
        <v>1</v>
      </c>
      <c r="AN169" s="98">
        <f>IFERROR((10/10),"No aplica")</f>
        <v>1</v>
      </c>
      <c r="AO169" s="105" t="s">
        <v>458</v>
      </c>
      <c r="AP169" s="102" t="s">
        <v>1360</v>
      </c>
      <c r="AQ169" s="102" t="s">
        <v>1361</v>
      </c>
      <c r="AR169" s="206" t="s">
        <v>1362</v>
      </c>
    </row>
    <row r="170" spans="1:44" ht="31.5" x14ac:dyDescent="0.25">
      <c r="A170" s="156"/>
      <c r="B170" s="106"/>
      <c r="C170" s="105"/>
      <c r="D170" s="105"/>
      <c r="E170" s="105"/>
      <c r="F170" s="105"/>
      <c r="G170" s="43" t="s">
        <v>193</v>
      </c>
      <c r="H170" s="15">
        <v>43620</v>
      </c>
      <c r="I170" s="15">
        <v>43814</v>
      </c>
      <c r="J170" s="35" t="s">
        <v>590</v>
      </c>
      <c r="K170" s="108"/>
      <c r="L170" s="108"/>
      <c r="M170" s="105"/>
      <c r="N170" s="105"/>
      <c r="O170" s="98"/>
      <c r="P170" s="98"/>
      <c r="Q170" s="105"/>
      <c r="R170" s="102"/>
      <c r="S170" s="102"/>
      <c r="T170" s="106"/>
      <c r="U170" s="105"/>
      <c r="V170" s="105"/>
      <c r="W170" s="98"/>
      <c r="X170" s="98"/>
      <c r="Y170" s="105"/>
      <c r="Z170" s="102"/>
      <c r="AA170" s="102"/>
      <c r="AB170" s="106"/>
      <c r="AC170" s="105"/>
      <c r="AD170" s="105"/>
      <c r="AE170" s="98"/>
      <c r="AF170" s="98"/>
      <c r="AG170" s="105"/>
      <c r="AH170" s="127"/>
      <c r="AI170" s="102"/>
      <c r="AJ170" s="106"/>
      <c r="AK170" s="105"/>
      <c r="AL170" s="105"/>
      <c r="AM170" s="98"/>
      <c r="AN170" s="98"/>
      <c r="AO170" s="105"/>
      <c r="AP170" s="102"/>
      <c r="AQ170" s="102"/>
      <c r="AR170" s="208"/>
    </row>
    <row r="171" spans="1:44" ht="31.5" x14ac:dyDescent="0.25">
      <c r="A171" s="156" t="s">
        <v>98</v>
      </c>
      <c r="B171" s="106" t="s">
        <v>265</v>
      </c>
      <c r="C171" s="105">
        <v>37</v>
      </c>
      <c r="D171" s="105" t="s">
        <v>1018</v>
      </c>
      <c r="E171" s="105">
        <v>0</v>
      </c>
      <c r="F171" s="105" t="s">
        <v>267</v>
      </c>
      <c r="G171" s="43" t="s">
        <v>765</v>
      </c>
      <c r="H171" s="15">
        <v>43647</v>
      </c>
      <c r="I171" s="15">
        <v>43677</v>
      </c>
      <c r="J171" s="35" t="s">
        <v>590</v>
      </c>
      <c r="K171" s="108" t="s">
        <v>321</v>
      </c>
      <c r="L171" s="108" t="s">
        <v>763</v>
      </c>
      <c r="M171" s="105" t="s">
        <v>764</v>
      </c>
      <c r="N171" s="105" t="s">
        <v>764</v>
      </c>
      <c r="O171" s="98" t="str">
        <f>IFERROR((0/0),"No aplica")</f>
        <v>No aplica</v>
      </c>
      <c r="P171" s="98">
        <f>IFERROR((0/2),"No aplica")</f>
        <v>0</v>
      </c>
      <c r="Q171" s="105" t="s">
        <v>457</v>
      </c>
      <c r="R171" s="102" t="s">
        <v>485</v>
      </c>
      <c r="S171" s="102" t="s">
        <v>309</v>
      </c>
      <c r="T171" s="106" t="s">
        <v>763</v>
      </c>
      <c r="U171" s="105" t="s">
        <v>764</v>
      </c>
      <c r="V171" s="105" t="s">
        <v>764</v>
      </c>
      <c r="W171" s="98" t="str">
        <f>IFERROR((0/0),"No aplica")</f>
        <v>No aplica</v>
      </c>
      <c r="X171" s="98">
        <f>IFERROR((0/2),"No aplica")</f>
        <v>0</v>
      </c>
      <c r="Y171" s="105" t="s">
        <v>457</v>
      </c>
      <c r="Z171" s="102" t="s">
        <v>901</v>
      </c>
      <c r="AA171" s="102" t="s">
        <v>902</v>
      </c>
      <c r="AB171" s="106" t="s">
        <v>763</v>
      </c>
      <c r="AC171" s="105" t="s">
        <v>764</v>
      </c>
      <c r="AD171" s="105" t="s">
        <v>764</v>
      </c>
      <c r="AE171" s="98" t="str">
        <f>IFERROR((0/0),"No aplica")</f>
        <v>No aplica</v>
      </c>
      <c r="AF171" s="98">
        <f>IFERROR((0/2),"No aplica")</f>
        <v>0</v>
      </c>
      <c r="AG171" s="105" t="s">
        <v>457</v>
      </c>
      <c r="AH171" s="102" t="s">
        <v>1253</v>
      </c>
      <c r="AI171" s="102" t="s">
        <v>1254</v>
      </c>
      <c r="AJ171" s="106" t="s">
        <v>763</v>
      </c>
      <c r="AK171" s="105" t="s">
        <v>763</v>
      </c>
      <c r="AL171" s="105" t="s">
        <v>763</v>
      </c>
      <c r="AM171" s="98">
        <f>IFERROR((10/10),"No aplica")</f>
        <v>1</v>
      </c>
      <c r="AN171" s="98">
        <f>IFERROR((10/10),"No aplica")</f>
        <v>1</v>
      </c>
      <c r="AO171" s="105" t="s">
        <v>458</v>
      </c>
      <c r="AP171" s="102" t="s">
        <v>1363</v>
      </c>
      <c r="AQ171" s="102" t="s">
        <v>1364</v>
      </c>
      <c r="AR171" s="206" t="s">
        <v>1365</v>
      </c>
    </row>
    <row r="172" spans="1:44" ht="31.5" x14ac:dyDescent="0.25">
      <c r="A172" s="156"/>
      <c r="B172" s="106"/>
      <c r="C172" s="105"/>
      <c r="D172" s="105"/>
      <c r="E172" s="105"/>
      <c r="F172" s="105"/>
      <c r="G172" s="43" t="s">
        <v>766</v>
      </c>
      <c r="H172" s="15">
        <v>43678</v>
      </c>
      <c r="I172" s="15">
        <v>43799</v>
      </c>
      <c r="J172" s="35" t="s">
        <v>590</v>
      </c>
      <c r="K172" s="108"/>
      <c r="L172" s="108"/>
      <c r="M172" s="105"/>
      <c r="N172" s="105"/>
      <c r="O172" s="98"/>
      <c r="P172" s="98"/>
      <c r="Q172" s="105"/>
      <c r="R172" s="102"/>
      <c r="S172" s="102"/>
      <c r="T172" s="106"/>
      <c r="U172" s="105"/>
      <c r="V172" s="105"/>
      <c r="W172" s="98"/>
      <c r="X172" s="98"/>
      <c r="Y172" s="105"/>
      <c r="Z172" s="102"/>
      <c r="AA172" s="102"/>
      <c r="AB172" s="106"/>
      <c r="AC172" s="105"/>
      <c r="AD172" s="105"/>
      <c r="AE172" s="98"/>
      <c r="AF172" s="98"/>
      <c r="AG172" s="105"/>
      <c r="AH172" s="102"/>
      <c r="AI172" s="102"/>
      <c r="AJ172" s="106"/>
      <c r="AK172" s="105"/>
      <c r="AL172" s="105"/>
      <c r="AM172" s="98"/>
      <c r="AN172" s="98"/>
      <c r="AO172" s="105"/>
      <c r="AP172" s="102"/>
      <c r="AQ172" s="102"/>
      <c r="AR172" s="208"/>
    </row>
    <row r="173" spans="1:44" x14ac:dyDescent="0.25">
      <c r="A173" s="92" t="s">
        <v>380</v>
      </c>
      <c r="B173" s="22" t="s">
        <v>380</v>
      </c>
      <c r="C173" s="7"/>
      <c r="D173" s="7" t="s">
        <v>380</v>
      </c>
      <c r="E173" s="7" t="s">
        <v>380</v>
      </c>
      <c r="F173" s="7" t="s">
        <v>380</v>
      </c>
      <c r="G173" s="45" t="s">
        <v>380</v>
      </c>
      <c r="H173" s="7" t="s">
        <v>380</v>
      </c>
      <c r="I173" s="7" t="s">
        <v>380</v>
      </c>
      <c r="J173" s="21" t="s">
        <v>380</v>
      </c>
      <c r="K173" s="29" t="s">
        <v>380</v>
      </c>
      <c r="L173" s="29" t="s">
        <v>380</v>
      </c>
      <c r="M173" s="7" t="s">
        <v>380</v>
      </c>
      <c r="N173" s="7" t="s">
        <v>380</v>
      </c>
      <c r="O173" s="7" t="s">
        <v>380</v>
      </c>
      <c r="P173" s="7" t="s">
        <v>380</v>
      </c>
      <c r="Q173" s="7" t="s">
        <v>380</v>
      </c>
      <c r="R173" s="7" t="s">
        <v>380</v>
      </c>
      <c r="S173" s="7" t="s">
        <v>380</v>
      </c>
      <c r="T173" s="22" t="s">
        <v>380</v>
      </c>
      <c r="U173" s="7" t="s">
        <v>380</v>
      </c>
      <c r="V173" s="7" t="s">
        <v>380</v>
      </c>
      <c r="W173" s="7" t="s">
        <v>380</v>
      </c>
      <c r="X173" s="7" t="s">
        <v>380</v>
      </c>
      <c r="Y173" s="22" t="s">
        <v>380</v>
      </c>
      <c r="Z173" s="81" t="s">
        <v>380</v>
      </c>
      <c r="AA173" s="81" t="s">
        <v>380</v>
      </c>
      <c r="AB173" s="22" t="s">
        <v>380</v>
      </c>
      <c r="AC173" s="7" t="s">
        <v>380</v>
      </c>
      <c r="AD173" s="7" t="s">
        <v>380</v>
      </c>
      <c r="AE173" s="7" t="s">
        <v>380</v>
      </c>
      <c r="AF173" s="71" t="s">
        <v>380</v>
      </c>
      <c r="AG173" s="7" t="s">
        <v>380</v>
      </c>
      <c r="AH173" s="81" t="s">
        <v>380</v>
      </c>
      <c r="AI173" s="81" t="s">
        <v>380</v>
      </c>
      <c r="AJ173" s="22" t="s">
        <v>380</v>
      </c>
      <c r="AK173" s="7" t="s">
        <v>380</v>
      </c>
      <c r="AL173" s="7" t="s">
        <v>380</v>
      </c>
      <c r="AM173" s="7" t="s">
        <v>380</v>
      </c>
      <c r="AN173" s="7" t="s">
        <v>380</v>
      </c>
      <c r="AO173" s="7" t="s">
        <v>380</v>
      </c>
      <c r="AP173" s="81" t="s">
        <v>380</v>
      </c>
      <c r="AQ173" s="81" t="s">
        <v>380</v>
      </c>
      <c r="AR173" s="82" t="s">
        <v>380</v>
      </c>
    </row>
    <row r="174" spans="1:44" ht="47.25" x14ac:dyDescent="0.25">
      <c r="A174" s="174" t="s">
        <v>98</v>
      </c>
      <c r="B174" s="110" t="s">
        <v>158</v>
      </c>
      <c r="C174" s="105">
        <v>39</v>
      </c>
      <c r="D174" s="105" t="s">
        <v>1019</v>
      </c>
      <c r="E174" s="105">
        <v>0</v>
      </c>
      <c r="F174" s="105" t="s">
        <v>159</v>
      </c>
      <c r="G174" s="44" t="s">
        <v>160</v>
      </c>
      <c r="H174" s="17">
        <v>43467</v>
      </c>
      <c r="I174" s="17">
        <v>43555</v>
      </c>
      <c r="J174" s="68" t="s">
        <v>727</v>
      </c>
      <c r="K174" s="108" t="s">
        <v>321</v>
      </c>
      <c r="L174" s="108" t="s">
        <v>767</v>
      </c>
      <c r="M174" s="105" t="s">
        <v>768</v>
      </c>
      <c r="N174" s="105" t="s">
        <v>768</v>
      </c>
      <c r="O174" s="98" t="str">
        <f>IFERROR((0%/0%),"No aplica")</f>
        <v>No aplica</v>
      </c>
      <c r="P174" s="98">
        <f>IFERROR((0/2),"No aplica")</f>
        <v>0</v>
      </c>
      <c r="Q174" s="105" t="s">
        <v>457</v>
      </c>
      <c r="R174" s="102" t="s">
        <v>498</v>
      </c>
      <c r="S174" s="102" t="s">
        <v>594</v>
      </c>
      <c r="T174" s="106" t="s">
        <v>767</v>
      </c>
      <c r="U174" s="105" t="s">
        <v>768</v>
      </c>
      <c r="V174" s="105" t="s">
        <v>768</v>
      </c>
      <c r="W174" s="98" t="str">
        <f>IFERROR((0%/0%),"No aplica")</f>
        <v>No aplica</v>
      </c>
      <c r="X174" s="98">
        <f>IFERROR((0/2),"No aplica")</f>
        <v>0</v>
      </c>
      <c r="Y174" s="105" t="s">
        <v>457</v>
      </c>
      <c r="Z174" s="102" t="s">
        <v>968</v>
      </c>
      <c r="AA174" s="102" t="s">
        <v>969</v>
      </c>
      <c r="AB174" s="106" t="s">
        <v>767</v>
      </c>
      <c r="AC174" s="105" t="s">
        <v>1283</v>
      </c>
      <c r="AD174" s="105" t="s">
        <v>1283</v>
      </c>
      <c r="AE174" s="98">
        <f>IFERROR((1/1),"No aplica")</f>
        <v>1</v>
      </c>
      <c r="AF174" s="98">
        <f>IFERROR((1/2),"No aplica")</f>
        <v>0.5</v>
      </c>
      <c r="AG174" s="105" t="s">
        <v>458</v>
      </c>
      <c r="AH174" s="102" t="s">
        <v>1255</v>
      </c>
      <c r="AI174" s="102" t="s">
        <v>1256</v>
      </c>
      <c r="AJ174" s="106" t="s">
        <v>767</v>
      </c>
      <c r="AK174" s="105" t="s">
        <v>1283</v>
      </c>
      <c r="AL174" s="105" t="s">
        <v>1283</v>
      </c>
      <c r="AM174" s="98">
        <f>IFERROR((1/1),"No aplica")</f>
        <v>1</v>
      </c>
      <c r="AN174" s="98">
        <f>IFERROR((2/2),"No aplica")</f>
        <v>1</v>
      </c>
      <c r="AO174" s="105" t="s">
        <v>458</v>
      </c>
      <c r="AP174" s="102" t="s">
        <v>1521</v>
      </c>
      <c r="AQ174" s="102" t="s">
        <v>1522</v>
      </c>
      <c r="AR174" s="206" t="s">
        <v>1523</v>
      </c>
    </row>
    <row r="175" spans="1:44" ht="47.25" x14ac:dyDescent="0.25">
      <c r="A175" s="174"/>
      <c r="B175" s="110"/>
      <c r="C175" s="105"/>
      <c r="D175" s="105"/>
      <c r="E175" s="105"/>
      <c r="F175" s="105"/>
      <c r="G175" s="44" t="s">
        <v>161</v>
      </c>
      <c r="H175" s="17">
        <v>43555</v>
      </c>
      <c r="I175" s="17">
        <v>43570</v>
      </c>
      <c r="J175" s="68" t="s">
        <v>727</v>
      </c>
      <c r="K175" s="108"/>
      <c r="L175" s="108"/>
      <c r="M175" s="105"/>
      <c r="N175" s="105"/>
      <c r="O175" s="98"/>
      <c r="P175" s="98"/>
      <c r="Q175" s="105"/>
      <c r="R175" s="102"/>
      <c r="S175" s="102"/>
      <c r="T175" s="106"/>
      <c r="U175" s="105"/>
      <c r="V175" s="105"/>
      <c r="W175" s="98"/>
      <c r="X175" s="98"/>
      <c r="Y175" s="105"/>
      <c r="Z175" s="102"/>
      <c r="AA175" s="102"/>
      <c r="AB175" s="106"/>
      <c r="AC175" s="105"/>
      <c r="AD175" s="105"/>
      <c r="AE175" s="98"/>
      <c r="AF175" s="98"/>
      <c r="AG175" s="105"/>
      <c r="AH175" s="102"/>
      <c r="AI175" s="102"/>
      <c r="AJ175" s="106"/>
      <c r="AK175" s="105"/>
      <c r="AL175" s="105"/>
      <c r="AM175" s="98"/>
      <c r="AN175" s="98"/>
      <c r="AO175" s="105"/>
      <c r="AP175" s="102"/>
      <c r="AQ175" s="102"/>
      <c r="AR175" s="207"/>
    </row>
    <row r="176" spans="1:44" ht="47.25" x14ac:dyDescent="0.25">
      <c r="A176" s="174"/>
      <c r="B176" s="110"/>
      <c r="C176" s="105"/>
      <c r="D176" s="105"/>
      <c r="E176" s="105"/>
      <c r="F176" s="105"/>
      <c r="G176" s="44" t="s">
        <v>306</v>
      </c>
      <c r="H176" s="17">
        <v>43586</v>
      </c>
      <c r="I176" s="17">
        <v>43830</v>
      </c>
      <c r="J176" s="68" t="s">
        <v>727</v>
      </c>
      <c r="K176" s="108"/>
      <c r="L176" s="108"/>
      <c r="M176" s="105"/>
      <c r="N176" s="105"/>
      <c r="O176" s="98"/>
      <c r="P176" s="98"/>
      <c r="Q176" s="105"/>
      <c r="R176" s="102"/>
      <c r="S176" s="102"/>
      <c r="T176" s="106"/>
      <c r="U176" s="105"/>
      <c r="V176" s="105"/>
      <c r="W176" s="98"/>
      <c r="X176" s="98"/>
      <c r="Y176" s="105"/>
      <c r="Z176" s="102"/>
      <c r="AA176" s="102"/>
      <c r="AB176" s="106"/>
      <c r="AC176" s="105"/>
      <c r="AD176" s="105"/>
      <c r="AE176" s="98"/>
      <c r="AF176" s="98"/>
      <c r="AG176" s="105"/>
      <c r="AH176" s="102"/>
      <c r="AI176" s="102"/>
      <c r="AJ176" s="106"/>
      <c r="AK176" s="105"/>
      <c r="AL176" s="105"/>
      <c r="AM176" s="98"/>
      <c r="AN176" s="98"/>
      <c r="AO176" s="105"/>
      <c r="AP176" s="102"/>
      <c r="AQ176" s="102"/>
      <c r="AR176" s="207"/>
    </row>
    <row r="177" spans="1:44" ht="47.25" x14ac:dyDescent="0.25">
      <c r="A177" s="174"/>
      <c r="B177" s="110"/>
      <c r="C177" s="105"/>
      <c r="D177" s="105"/>
      <c r="E177" s="105"/>
      <c r="F177" s="105" t="s">
        <v>162</v>
      </c>
      <c r="G177" s="44" t="s">
        <v>163</v>
      </c>
      <c r="H177" s="17">
        <v>43467</v>
      </c>
      <c r="I177" s="17">
        <v>43830</v>
      </c>
      <c r="J177" s="68" t="s">
        <v>727</v>
      </c>
      <c r="K177" s="108"/>
      <c r="L177" s="108"/>
      <c r="M177" s="105"/>
      <c r="N177" s="105"/>
      <c r="O177" s="98"/>
      <c r="P177" s="98"/>
      <c r="Q177" s="105"/>
      <c r="R177" s="102"/>
      <c r="S177" s="102"/>
      <c r="T177" s="106"/>
      <c r="U177" s="105"/>
      <c r="V177" s="105"/>
      <c r="W177" s="98"/>
      <c r="X177" s="98"/>
      <c r="Y177" s="105"/>
      <c r="Z177" s="102"/>
      <c r="AA177" s="102"/>
      <c r="AB177" s="106"/>
      <c r="AC177" s="105"/>
      <c r="AD177" s="105"/>
      <c r="AE177" s="98"/>
      <c r="AF177" s="98"/>
      <c r="AG177" s="105"/>
      <c r="AH177" s="102"/>
      <c r="AI177" s="102"/>
      <c r="AJ177" s="106"/>
      <c r="AK177" s="105"/>
      <c r="AL177" s="105"/>
      <c r="AM177" s="98"/>
      <c r="AN177" s="98"/>
      <c r="AO177" s="105"/>
      <c r="AP177" s="102"/>
      <c r="AQ177" s="102"/>
      <c r="AR177" s="207"/>
    </row>
    <row r="178" spans="1:44" ht="47.25" x14ac:dyDescent="0.25">
      <c r="A178" s="174"/>
      <c r="B178" s="110"/>
      <c r="C178" s="105"/>
      <c r="D178" s="105"/>
      <c r="E178" s="105"/>
      <c r="F178" s="105"/>
      <c r="G178" s="44" t="s">
        <v>769</v>
      </c>
      <c r="H178" s="17">
        <v>43466</v>
      </c>
      <c r="I178" s="17">
        <v>43645</v>
      </c>
      <c r="J178" s="68" t="s">
        <v>727</v>
      </c>
      <c r="K178" s="108"/>
      <c r="L178" s="108"/>
      <c r="M178" s="105"/>
      <c r="N178" s="105"/>
      <c r="O178" s="98"/>
      <c r="P178" s="98"/>
      <c r="Q178" s="105"/>
      <c r="R178" s="102"/>
      <c r="S178" s="102"/>
      <c r="T178" s="106"/>
      <c r="U178" s="105"/>
      <c r="V178" s="105"/>
      <c r="W178" s="98"/>
      <c r="X178" s="98"/>
      <c r="Y178" s="105"/>
      <c r="Z178" s="102"/>
      <c r="AA178" s="102"/>
      <c r="AB178" s="106"/>
      <c r="AC178" s="105"/>
      <c r="AD178" s="105"/>
      <c r="AE178" s="98"/>
      <c r="AF178" s="98"/>
      <c r="AG178" s="105"/>
      <c r="AH178" s="102"/>
      <c r="AI178" s="102"/>
      <c r="AJ178" s="106"/>
      <c r="AK178" s="105"/>
      <c r="AL178" s="105"/>
      <c r="AM178" s="98"/>
      <c r="AN178" s="98"/>
      <c r="AO178" s="105"/>
      <c r="AP178" s="102"/>
      <c r="AQ178" s="102"/>
      <c r="AR178" s="207"/>
    </row>
    <row r="179" spans="1:44" ht="47.25" x14ac:dyDescent="0.25">
      <c r="A179" s="174"/>
      <c r="B179" s="110"/>
      <c r="C179" s="105"/>
      <c r="D179" s="105"/>
      <c r="E179" s="105"/>
      <c r="F179" s="105"/>
      <c r="G179" s="44" t="s">
        <v>101</v>
      </c>
      <c r="H179" s="17">
        <v>43496</v>
      </c>
      <c r="I179" s="17">
        <v>43769</v>
      </c>
      <c r="J179" s="68" t="s">
        <v>727</v>
      </c>
      <c r="K179" s="108"/>
      <c r="L179" s="108"/>
      <c r="M179" s="105"/>
      <c r="N179" s="105"/>
      <c r="O179" s="98"/>
      <c r="P179" s="98"/>
      <c r="Q179" s="105"/>
      <c r="R179" s="102"/>
      <c r="S179" s="102"/>
      <c r="T179" s="106"/>
      <c r="U179" s="105"/>
      <c r="V179" s="105"/>
      <c r="W179" s="98"/>
      <c r="X179" s="98"/>
      <c r="Y179" s="105"/>
      <c r="Z179" s="102"/>
      <c r="AA179" s="102"/>
      <c r="AB179" s="106"/>
      <c r="AC179" s="105"/>
      <c r="AD179" s="105"/>
      <c r="AE179" s="98"/>
      <c r="AF179" s="98"/>
      <c r="AG179" s="105"/>
      <c r="AH179" s="102"/>
      <c r="AI179" s="102"/>
      <c r="AJ179" s="106"/>
      <c r="AK179" s="105"/>
      <c r="AL179" s="105"/>
      <c r="AM179" s="98"/>
      <c r="AN179" s="98"/>
      <c r="AO179" s="105"/>
      <c r="AP179" s="102"/>
      <c r="AQ179" s="102"/>
      <c r="AR179" s="208"/>
    </row>
    <row r="180" spans="1:44" ht="47.25" x14ac:dyDescent="0.25">
      <c r="A180" s="171" t="s">
        <v>100</v>
      </c>
      <c r="B180" s="110" t="s">
        <v>261</v>
      </c>
      <c r="C180" s="101">
        <v>40</v>
      </c>
      <c r="D180" s="101" t="s">
        <v>1007</v>
      </c>
      <c r="E180" s="101">
        <v>0</v>
      </c>
      <c r="F180" s="137" t="s">
        <v>276</v>
      </c>
      <c r="G180" s="43" t="s">
        <v>1065</v>
      </c>
      <c r="H180" s="69">
        <v>43521</v>
      </c>
      <c r="I180" s="69">
        <v>43728</v>
      </c>
      <c r="J180" s="68" t="s">
        <v>727</v>
      </c>
      <c r="K180" s="170" t="s">
        <v>321</v>
      </c>
      <c r="L180" s="170" t="s">
        <v>164</v>
      </c>
      <c r="M180" s="101" t="s">
        <v>499</v>
      </c>
      <c r="N180" s="101" t="s">
        <v>499</v>
      </c>
      <c r="O180" s="100" t="str">
        <f>IFERROR((0/0),"No aplica")</f>
        <v>No aplica</v>
      </c>
      <c r="P180" s="100">
        <f>IFERROR((0/1),"No aplica")</f>
        <v>0</v>
      </c>
      <c r="Q180" s="101" t="s">
        <v>457</v>
      </c>
      <c r="R180" s="103" t="s">
        <v>608</v>
      </c>
      <c r="S180" s="103" t="s">
        <v>609</v>
      </c>
      <c r="T180" s="110" t="s">
        <v>164</v>
      </c>
      <c r="U180" s="101" t="s">
        <v>164</v>
      </c>
      <c r="V180" s="101" t="s">
        <v>499</v>
      </c>
      <c r="W180" s="100">
        <f>IFERROR((0/1),"No aplica")</f>
        <v>0</v>
      </c>
      <c r="X180" s="100">
        <f>IFERROR((0/1),"No aplica")</f>
        <v>0</v>
      </c>
      <c r="Y180" s="101" t="s">
        <v>474</v>
      </c>
      <c r="Z180" s="103" t="s">
        <v>970</v>
      </c>
      <c r="AA180" s="103" t="s">
        <v>971</v>
      </c>
      <c r="AB180" s="110" t="s">
        <v>164</v>
      </c>
      <c r="AC180" s="101" t="s">
        <v>499</v>
      </c>
      <c r="AD180" s="101" t="s">
        <v>499</v>
      </c>
      <c r="AE180" s="100" t="str">
        <f>IFERROR((0/0),"No aplica")</f>
        <v>No aplica</v>
      </c>
      <c r="AF180" s="100">
        <f>IFERROR((0/1),"No aplica")</f>
        <v>0</v>
      </c>
      <c r="AG180" s="101" t="s">
        <v>474</v>
      </c>
      <c r="AH180" s="103" t="s">
        <v>1257</v>
      </c>
      <c r="AI180" s="103" t="s">
        <v>1258</v>
      </c>
      <c r="AJ180" s="110" t="s">
        <v>164</v>
      </c>
      <c r="AK180" s="101" t="s">
        <v>499</v>
      </c>
      <c r="AL180" s="210" t="s">
        <v>164</v>
      </c>
      <c r="AM180" s="100" t="str">
        <f>IFERROR((1/0),"No aplica")</f>
        <v>No aplica</v>
      </c>
      <c r="AN180" s="100">
        <f>IFERROR((1/1),"No aplica")</f>
        <v>1</v>
      </c>
      <c r="AO180" s="101" t="s">
        <v>458</v>
      </c>
      <c r="AP180" s="103" t="s">
        <v>1366</v>
      </c>
      <c r="AQ180" s="103" t="s">
        <v>1367</v>
      </c>
      <c r="AR180" s="212" t="s">
        <v>1368</v>
      </c>
    </row>
    <row r="181" spans="1:44" ht="47.25" x14ac:dyDescent="0.25">
      <c r="A181" s="171"/>
      <c r="B181" s="110"/>
      <c r="C181" s="101"/>
      <c r="D181" s="101"/>
      <c r="E181" s="101"/>
      <c r="F181" s="138"/>
      <c r="G181" s="43" t="s">
        <v>1066</v>
      </c>
      <c r="H181" s="69">
        <v>43734</v>
      </c>
      <c r="I181" s="69">
        <v>43756</v>
      </c>
      <c r="J181" s="68" t="s">
        <v>727</v>
      </c>
      <c r="K181" s="170"/>
      <c r="L181" s="170"/>
      <c r="M181" s="101"/>
      <c r="N181" s="101"/>
      <c r="O181" s="100"/>
      <c r="P181" s="100"/>
      <c r="Q181" s="101"/>
      <c r="R181" s="103"/>
      <c r="S181" s="103"/>
      <c r="T181" s="110"/>
      <c r="U181" s="101"/>
      <c r="V181" s="101"/>
      <c r="W181" s="100"/>
      <c r="X181" s="100"/>
      <c r="Y181" s="101"/>
      <c r="Z181" s="103"/>
      <c r="AA181" s="103"/>
      <c r="AB181" s="110"/>
      <c r="AC181" s="101"/>
      <c r="AD181" s="101"/>
      <c r="AE181" s="100"/>
      <c r="AF181" s="100"/>
      <c r="AG181" s="101"/>
      <c r="AH181" s="103"/>
      <c r="AI181" s="103"/>
      <c r="AJ181" s="110"/>
      <c r="AK181" s="101"/>
      <c r="AL181" s="101"/>
      <c r="AM181" s="100"/>
      <c r="AN181" s="100"/>
      <c r="AO181" s="101"/>
      <c r="AP181" s="103"/>
      <c r="AQ181" s="103"/>
      <c r="AR181" s="213"/>
    </row>
    <row r="182" spans="1:44" ht="47.25" x14ac:dyDescent="0.25">
      <c r="A182" s="171"/>
      <c r="B182" s="110"/>
      <c r="C182" s="101"/>
      <c r="D182" s="101"/>
      <c r="E182" s="101"/>
      <c r="F182" s="138"/>
      <c r="G182" s="43" t="s">
        <v>1067</v>
      </c>
      <c r="H182" s="69">
        <v>43759</v>
      </c>
      <c r="I182" s="69">
        <v>43768</v>
      </c>
      <c r="J182" s="68" t="s">
        <v>727</v>
      </c>
      <c r="K182" s="170"/>
      <c r="L182" s="170"/>
      <c r="M182" s="101"/>
      <c r="N182" s="101"/>
      <c r="O182" s="100"/>
      <c r="P182" s="100"/>
      <c r="Q182" s="101"/>
      <c r="R182" s="103"/>
      <c r="S182" s="103"/>
      <c r="T182" s="110"/>
      <c r="U182" s="101"/>
      <c r="V182" s="101"/>
      <c r="W182" s="100"/>
      <c r="X182" s="100"/>
      <c r="Y182" s="101"/>
      <c r="Z182" s="103"/>
      <c r="AA182" s="103"/>
      <c r="AB182" s="110"/>
      <c r="AC182" s="101"/>
      <c r="AD182" s="101"/>
      <c r="AE182" s="100"/>
      <c r="AF182" s="100"/>
      <c r="AG182" s="101"/>
      <c r="AH182" s="103"/>
      <c r="AI182" s="103"/>
      <c r="AJ182" s="110"/>
      <c r="AK182" s="101"/>
      <c r="AL182" s="101"/>
      <c r="AM182" s="100"/>
      <c r="AN182" s="100"/>
      <c r="AO182" s="101"/>
      <c r="AP182" s="103"/>
      <c r="AQ182" s="103"/>
      <c r="AR182" s="213"/>
    </row>
    <row r="183" spans="1:44" ht="47.25" x14ac:dyDescent="0.25">
      <c r="A183" s="171"/>
      <c r="B183" s="110"/>
      <c r="C183" s="101"/>
      <c r="D183" s="101"/>
      <c r="E183" s="101"/>
      <c r="F183" s="105" t="s">
        <v>277</v>
      </c>
      <c r="G183" s="43" t="s">
        <v>1068</v>
      </c>
      <c r="H183" s="69">
        <v>43769</v>
      </c>
      <c r="I183" s="69">
        <v>43788</v>
      </c>
      <c r="J183" s="68" t="s">
        <v>727</v>
      </c>
      <c r="K183" s="170"/>
      <c r="L183" s="170"/>
      <c r="M183" s="101"/>
      <c r="N183" s="101"/>
      <c r="O183" s="100"/>
      <c r="P183" s="100"/>
      <c r="Q183" s="101"/>
      <c r="R183" s="103"/>
      <c r="S183" s="103"/>
      <c r="T183" s="110"/>
      <c r="U183" s="101"/>
      <c r="V183" s="101"/>
      <c r="W183" s="100"/>
      <c r="X183" s="100"/>
      <c r="Y183" s="101"/>
      <c r="Z183" s="103"/>
      <c r="AA183" s="103"/>
      <c r="AB183" s="110"/>
      <c r="AC183" s="101"/>
      <c r="AD183" s="101"/>
      <c r="AE183" s="100"/>
      <c r="AF183" s="100"/>
      <c r="AG183" s="101"/>
      <c r="AH183" s="103"/>
      <c r="AI183" s="103"/>
      <c r="AJ183" s="110"/>
      <c r="AK183" s="101"/>
      <c r="AL183" s="101"/>
      <c r="AM183" s="100"/>
      <c r="AN183" s="100"/>
      <c r="AO183" s="101"/>
      <c r="AP183" s="103"/>
      <c r="AQ183" s="103"/>
      <c r="AR183" s="213"/>
    </row>
    <row r="184" spans="1:44" ht="47.25" x14ac:dyDescent="0.25">
      <c r="A184" s="171"/>
      <c r="B184" s="110"/>
      <c r="C184" s="101"/>
      <c r="D184" s="101"/>
      <c r="E184" s="101"/>
      <c r="F184" s="105"/>
      <c r="G184" s="43" t="s">
        <v>1069</v>
      </c>
      <c r="H184" s="69">
        <v>43794</v>
      </c>
      <c r="I184" s="69">
        <v>43808</v>
      </c>
      <c r="J184" s="68" t="s">
        <v>727</v>
      </c>
      <c r="K184" s="170"/>
      <c r="L184" s="170"/>
      <c r="M184" s="101"/>
      <c r="N184" s="101"/>
      <c r="O184" s="100"/>
      <c r="P184" s="100"/>
      <c r="Q184" s="101"/>
      <c r="R184" s="103"/>
      <c r="S184" s="103"/>
      <c r="T184" s="110"/>
      <c r="U184" s="101"/>
      <c r="V184" s="101"/>
      <c r="W184" s="100"/>
      <c r="X184" s="100"/>
      <c r="Y184" s="101"/>
      <c r="Z184" s="103"/>
      <c r="AA184" s="103"/>
      <c r="AB184" s="110"/>
      <c r="AC184" s="101"/>
      <c r="AD184" s="101"/>
      <c r="AE184" s="100"/>
      <c r="AF184" s="100"/>
      <c r="AG184" s="101"/>
      <c r="AH184" s="103"/>
      <c r="AI184" s="103"/>
      <c r="AJ184" s="110"/>
      <c r="AK184" s="101"/>
      <c r="AL184" s="101"/>
      <c r="AM184" s="100"/>
      <c r="AN184" s="100"/>
      <c r="AO184" s="101"/>
      <c r="AP184" s="103"/>
      <c r="AQ184" s="103"/>
      <c r="AR184" s="213"/>
    </row>
    <row r="185" spans="1:44" ht="47.25" x14ac:dyDescent="0.25">
      <c r="A185" s="171"/>
      <c r="B185" s="110"/>
      <c r="C185" s="101"/>
      <c r="D185" s="101"/>
      <c r="E185" s="101"/>
      <c r="F185" s="105"/>
      <c r="G185" s="43" t="s">
        <v>1070</v>
      </c>
      <c r="H185" s="70">
        <v>43809</v>
      </c>
      <c r="I185" s="70">
        <v>43620</v>
      </c>
      <c r="J185" s="68" t="s">
        <v>727</v>
      </c>
      <c r="K185" s="170"/>
      <c r="L185" s="170"/>
      <c r="M185" s="101"/>
      <c r="N185" s="101"/>
      <c r="O185" s="100"/>
      <c r="P185" s="100"/>
      <c r="Q185" s="101"/>
      <c r="R185" s="103"/>
      <c r="S185" s="103"/>
      <c r="T185" s="110"/>
      <c r="U185" s="101"/>
      <c r="V185" s="101"/>
      <c r="W185" s="100"/>
      <c r="X185" s="100"/>
      <c r="Y185" s="101"/>
      <c r="Z185" s="103"/>
      <c r="AA185" s="103"/>
      <c r="AB185" s="110"/>
      <c r="AC185" s="101"/>
      <c r="AD185" s="101"/>
      <c r="AE185" s="100"/>
      <c r="AF185" s="100"/>
      <c r="AG185" s="101"/>
      <c r="AH185" s="103"/>
      <c r="AI185" s="103"/>
      <c r="AJ185" s="110"/>
      <c r="AK185" s="101"/>
      <c r="AL185" s="101"/>
      <c r="AM185" s="100"/>
      <c r="AN185" s="100"/>
      <c r="AO185" s="101"/>
      <c r="AP185" s="103"/>
      <c r="AQ185" s="103"/>
      <c r="AR185" s="215"/>
    </row>
    <row r="186" spans="1:44" ht="47.25" x14ac:dyDescent="0.25">
      <c r="A186" s="175" t="s">
        <v>99</v>
      </c>
      <c r="B186" s="106" t="s">
        <v>264</v>
      </c>
      <c r="C186" s="105">
        <v>72</v>
      </c>
      <c r="D186" s="105" t="s">
        <v>1063</v>
      </c>
      <c r="E186" s="105">
        <v>0</v>
      </c>
      <c r="F186" s="105" t="s">
        <v>1056</v>
      </c>
      <c r="G186" s="67" t="s">
        <v>1057</v>
      </c>
      <c r="H186" s="15">
        <v>43466</v>
      </c>
      <c r="I186" s="15">
        <v>43830</v>
      </c>
      <c r="J186" s="68" t="s">
        <v>727</v>
      </c>
      <c r="K186" s="78"/>
      <c r="L186" s="107" t="s">
        <v>309</v>
      </c>
      <c r="M186" s="98" t="s">
        <v>309</v>
      </c>
      <c r="N186" s="98" t="s">
        <v>309</v>
      </c>
      <c r="O186" s="98" t="s">
        <v>309</v>
      </c>
      <c r="P186" s="98" t="s">
        <v>309</v>
      </c>
      <c r="Q186" s="98" t="s">
        <v>309</v>
      </c>
      <c r="R186" s="98" t="s">
        <v>309</v>
      </c>
      <c r="S186" s="98" t="s">
        <v>309</v>
      </c>
      <c r="T186" s="123" t="s">
        <v>309</v>
      </c>
      <c r="U186" s="105" t="s">
        <v>457</v>
      </c>
      <c r="V186" s="105" t="s">
        <v>457</v>
      </c>
      <c r="W186" s="105" t="s">
        <v>457</v>
      </c>
      <c r="X186" s="105" t="s">
        <v>457</v>
      </c>
      <c r="Y186" s="105" t="s">
        <v>457</v>
      </c>
      <c r="Z186" s="105" t="s">
        <v>457</v>
      </c>
      <c r="AA186" s="105" t="s">
        <v>457</v>
      </c>
      <c r="AB186" s="197" t="s">
        <v>1060</v>
      </c>
      <c r="AC186" s="98" t="s">
        <v>1060</v>
      </c>
      <c r="AD186" s="98" t="s">
        <v>1261</v>
      </c>
      <c r="AE186" s="98">
        <f>IFERROR((88.28%/80%),"No aplica")</f>
        <v>1.1034999999999999</v>
      </c>
      <c r="AF186" s="117" t="s">
        <v>1047</v>
      </c>
      <c r="AG186" s="198" t="s">
        <v>458</v>
      </c>
      <c r="AH186" s="103" t="s">
        <v>1259</v>
      </c>
      <c r="AI186" s="103" t="s">
        <v>1260</v>
      </c>
      <c r="AJ186" s="132" t="s">
        <v>1060</v>
      </c>
      <c r="AK186" s="98" t="s">
        <v>1060</v>
      </c>
      <c r="AL186" s="98" t="s">
        <v>1471</v>
      </c>
      <c r="AM186" s="98">
        <f>IFERROR((88.3%/80%),"No aplica")</f>
        <v>1.10375</v>
      </c>
      <c r="AN186" s="117" t="s">
        <v>1047</v>
      </c>
      <c r="AO186" s="198" t="s">
        <v>468</v>
      </c>
      <c r="AP186" s="103" t="s">
        <v>1470</v>
      </c>
      <c r="AQ186" s="103" t="s">
        <v>1369</v>
      </c>
      <c r="AR186" s="212" t="s">
        <v>1524</v>
      </c>
    </row>
    <row r="187" spans="1:44" ht="47.25" x14ac:dyDescent="0.25">
      <c r="A187" s="175"/>
      <c r="B187" s="106"/>
      <c r="C187" s="105"/>
      <c r="D187" s="105"/>
      <c r="E187" s="105"/>
      <c r="F187" s="105"/>
      <c r="G187" s="67" t="s">
        <v>1058</v>
      </c>
      <c r="H187" s="15">
        <v>43466</v>
      </c>
      <c r="I187" s="15">
        <v>43830</v>
      </c>
      <c r="J187" s="68" t="s">
        <v>727</v>
      </c>
      <c r="K187" s="78"/>
      <c r="L187" s="108"/>
      <c r="M187" s="98"/>
      <c r="N187" s="98"/>
      <c r="O187" s="98"/>
      <c r="P187" s="98"/>
      <c r="Q187" s="98"/>
      <c r="R187" s="98"/>
      <c r="S187" s="98"/>
      <c r="T187" s="124"/>
      <c r="U187" s="105"/>
      <c r="V187" s="105"/>
      <c r="W187" s="105"/>
      <c r="X187" s="105"/>
      <c r="Y187" s="105"/>
      <c r="Z187" s="105"/>
      <c r="AA187" s="105"/>
      <c r="AB187" s="156"/>
      <c r="AC187" s="105"/>
      <c r="AD187" s="105"/>
      <c r="AE187" s="105"/>
      <c r="AF187" s="105"/>
      <c r="AG187" s="199"/>
      <c r="AH187" s="103"/>
      <c r="AI187" s="103"/>
      <c r="AJ187" s="106"/>
      <c r="AK187" s="105"/>
      <c r="AL187" s="105"/>
      <c r="AM187" s="105"/>
      <c r="AN187" s="211"/>
      <c r="AO187" s="199"/>
      <c r="AP187" s="103"/>
      <c r="AQ187" s="103"/>
      <c r="AR187" s="213"/>
    </row>
    <row r="188" spans="1:44" ht="47.25" x14ac:dyDescent="0.25">
      <c r="A188" s="175"/>
      <c r="B188" s="106"/>
      <c r="C188" s="105"/>
      <c r="D188" s="105"/>
      <c r="E188" s="105"/>
      <c r="F188" s="105"/>
      <c r="G188" s="67" t="s">
        <v>1059</v>
      </c>
      <c r="H188" s="15">
        <v>43466</v>
      </c>
      <c r="I188" s="15">
        <v>43830</v>
      </c>
      <c r="J188" s="68" t="s">
        <v>727</v>
      </c>
      <c r="K188" s="78"/>
      <c r="L188" s="108"/>
      <c r="M188" s="98"/>
      <c r="N188" s="98"/>
      <c r="O188" s="98"/>
      <c r="P188" s="98"/>
      <c r="Q188" s="98"/>
      <c r="R188" s="98"/>
      <c r="S188" s="98"/>
      <c r="T188" s="125"/>
      <c r="U188" s="105"/>
      <c r="V188" s="105"/>
      <c r="W188" s="105"/>
      <c r="X188" s="105"/>
      <c r="Y188" s="105"/>
      <c r="Z188" s="105"/>
      <c r="AA188" s="105"/>
      <c r="AB188" s="156"/>
      <c r="AC188" s="105"/>
      <c r="AD188" s="105"/>
      <c r="AE188" s="105"/>
      <c r="AF188" s="105"/>
      <c r="AG188" s="199"/>
      <c r="AH188" s="103"/>
      <c r="AI188" s="103"/>
      <c r="AJ188" s="106"/>
      <c r="AK188" s="105"/>
      <c r="AL188" s="105"/>
      <c r="AM188" s="105"/>
      <c r="AN188" s="211"/>
      <c r="AO188" s="199"/>
      <c r="AP188" s="103"/>
      <c r="AQ188" s="103"/>
      <c r="AR188" s="215"/>
    </row>
    <row r="189" spans="1:44" x14ac:dyDescent="0.25">
      <c r="A189" s="92" t="s">
        <v>380</v>
      </c>
      <c r="B189" s="22" t="s">
        <v>380</v>
      </c>
      <c r="C189" s="7" t="s">
        <v>380</v>
      </c>
      <c r="D189" s="7" t="s">
        <v>380</v>
      </c>
      <c r="E189" s="7" t="s">
        <v>380</v>
      </c>
      <c r="F189" s="7" t="s">
        <v>380</v>
      </c>
      <c r="G189" s="45" t="s">
        <v>380</v>
      </c>
      <c r="H189" s="7" t="s">
        <v>380</v>
      </c>
      <c r="I189" s="7" t="s">
        <v>380</v>
      </c>
      <c r="J189" s="21" t="s">
        <v>380</v>
      </c>
      <c r="K189" s="29" t="s">
        <v>380</v>
      </c>
      <c r="L189" s="29" t="s">
        <v>380</v>
      </c>
      <c r="M189" s="7" t="s">
        <v>380</v>
      </c>
      <c r="N189" s="7" t="s">
        <v>380</v>
      </c>
      <c r="O189" s="7" t="s">
        <v>380</v>
      </c>
      <c r="P189" s="7" t="s">
        <v>380</v>
      </c>
      <c r="Q189" s="7" t="s">
        <v>380</v>
      </c>
      <c r="R189" s="7" t="s">
        <v>380</v>
      </c>
      <c r="S189" s="7" t="s">
        <v>380</v>
      </c>
      <c r="T189" s="22" t="s">
        <v>380</v>
      </c>
      <c r="U189" s="7" t="s">
        <v>380</v>
      </c>
      <c r="V189" s="7" t="s">
        <v>380</v>
      </c>
      <c r="W189" s="7" t="s">
        <v>380</v>
      </c>
      <c r="X189" s="7" t="s">
        <v>380</v>
      </c>
      <c r="Y189" s="22" t="s">
        <v>380</v>
      </c>
      <c r="Z189" s="81" t="s">
        <v>380</v>
      </c>
      <c r="AA189" s="81" t="s">
        <v>380</v>
      </c>
      <c r="AB189" s="22" t="s">
        <v>380</v>
      </c>
      <c r="AC189" s="7" t="s">
        <v>380</v>
      </c>
      <c r="AD189" s="7" t="s">
        <v>380</v>
      </c>
      <c r="AE189" s="7" t="s">
        <v>380</v>
      </c>
      <c r="AF189" s="71" t="s">
        <v>380</v>
      </c>
      <c r="AG189" s="7" t="s">
        <v>380</v>
      </c>
      <c r="AH189" s="81" t="s">
        <v>380</v>
      </c>
      <c r="AI189" s="81" t="s">
        <v>380</v>
      </c>
      <c r="AJ189" s="22" t="s">
        <v>380</v>
      </c>
      <c r="AK189" s="7" t="s">
        <v>380</v>
      </c>
      <c r="AL189" s="7" t="s">
        <v>380</v>
      </c>
      <c r="AM189" s="7" t="s">
        <v>380</v>
      </c>
      <c r="AN189" s="7" t="s">
        <v>380</v>
      </c>
      <c r="AO189" s="7" t="s">
        <v>380</v>
      </c>
      <c r="AP189" s="81" t="s">
        <v>380</v>
      </c>
      <c r="AQ189" s="81" t="s">
        <v>380</v>
      </c>
      <c r="AR189" s="82" t="s">
        <v>380</v>
      </c>
    </row>
    <row r="190" spans="1:44" ht="31.5" x14ac:dyDescent="0.25">
      <c r="A190" s="171" t="s">
        <v>98</v>
      </c>
      <c r="B190" s="110" t="s">
        <v>158</v>
      </c>
      <c r="C190" s="101">
        <v>41</v>
      </c>
      <c r="D190" s="105" t="s">
        <v>1048</v>
      </c>
      <c r="E190" s="169">
        <v>0</v>
      </c>
      <c r="F190" s="105" t="s">
        <v>278</v>
      </c>
      <c r="G190" s="44" t="s">
        <v>165</v>
      </c>
      <c r="H190" s="17">
        <v>43466</v>
      </c>
      <c r="I190" s="17">
        <v>43554</v>
      </c>
      <c r="J190" s="68" t="s">
        <v>167</v>
      </c>
      <c r="K190" s="170" t="s">
        <v>321</v>
      </c>
      <c r="L190" s="108" t="s">
        <v>770</v>
      </c>
      <c r="M190" s="105" t="s">
        <v>1049</v>
      </c>
      <c r="N190" s="105" t="s">
        <v>1050</v>
      </c>
      <c r="O190" s="116">
        <f>IFERROR((43%/60%),"No aplica")</f>
        <v>0.71666666666666667</v>
      </c>
      <c r="P190" s="117" t="s">
        <v>469</v>
      </c>
      <c r="Q190" s="101" t="s">
        <v>531</v>
      </c>
      <c r="R190" s="103" t="s">
        <v>568</v>
      </c>
      <c r="S190" s="103" t="s">
        <v>595</v>
      </c>
      <c r="T190" s="110" t="s">
        <v>1049</v>
      </c>
      <c r="U190" s="101" t="s">
        <v>1049</v>
      </c>
      <c r="V190" s="101" t="s">
        <v>1051</v>
      </c>
      <c r="W190" s="100">
        <f>IFERROR((87%/60%),"No aplica")</f>
        <v>1.45</v>
      </c>
      <c r="X190" s="122" t="s">
        <v>469</v>
      </c>
      <c r="Y190" s="101" t="s">
        <v>468</v>
      </c>
      <c r="Z190" s="103" t="s">
        <v>972</v>
      </c>
      <c r="AA190" s="103" t="s">
        <v>771</v>
      </c>
      <c r="AB190" s="110" t="s">
        <v>1049</v>
      </c>
      <c r="AC190" s="101" t="s">
        <v>1049</v>
      </c>
      <c r="AD190" s="101" t="s">
        <v>1262</v>
      </c>
      <c r="AE190" s="100">
        <f>IFERROR((88%/60%),"No aplica")</f>
        <v>1.4666666666666668</v>
      </c>
      <c r="AF190" s="122" t="s">
        <v>1047</v>
      </c>
      <c r="AG190" s="101" t="s">
        <v>468</v>
      </c>
      <c r="AH190" s="103" t="s">
        <v>1263</v>
      </c>
      <c r="AI190" s="103" t="s">
        <v>1264</v>
      </c>
      <c r="AJ190" s="110" t="s">
        <v>1049</v>
      </c>
      <c r="AK190" s="101" t="s">
        <v>1049</v>
      </c>
      <c r="AL190" s="101" t="s">
        <v>1370</v>
      </c>
      <c r="AM190" s="100">
        <f>IFERROR((79.68%/60%),"No aplica")</f>
        <v>1.3280000000000001</v>
      </c>
      <c r="AN190" s="122" t="s">
        <v>1047</v>
      </c>
      <c r="AO190" s="101" t="s">
        <v>468</v>
      </c>
      <c r="AP190" s="103" t="s">
        <v>1371</v>
      </c>
      <c r="AQ190" s="103" t="s">
        <v>1264</v>
      </c>
      <c r="AR190" s="212" t="s">
        <v>1525</v>
      </c>
    </row>
    <row r="191" spans="1:44" ht="31.5" x14ac:dyDescent="0.25">
      <c r="A191" s="171"/>
      <c r="B191" s="110"/>
      <c r="C191" s="101"/>
      <c r="D191" s="105"/>
      <c r="E191" s="169"/>
      <c r="F191" s="105"/>
      <c r="G191" s="44" t="s">
        <v>166</v>
      </c>
      <c r="H191" s="17">
        <v>43466</v>
      </c>
      <c r="I191" s="17">
        <v>43830</v>
      </c>
      <c r="J191" s="68" t="s">
        <v>167</v>
      </c>
      <c r="K191" s="170"/>
      <c r="L191" s="108"/>
      <c r="M191" s="105"/>
      <c r="N191" s="105"/>
      <c r="O191" s="116"/>
      <c r="P191" s="117"/>
      <c r="Q191" s="101"/>
      <c r="R191" s="103"/>
      <c r="S191" s="103"/>
      <c r="T191" s="110"/>
      <c r="U191" s="101"/>
      <c r="V191" s="101"/>
      <c r="W191" s="100"/>
      <c r="X191" s="100"/>
      <c r="Y191" s="101"/>
      <c r="Z191" s="103"/>
      <c r="AA191" s="103"/>
      <c r="AB191" s="110"/>
      <c r="AC191" s="101"/>
      <c r="AD191" s="101"/>
      <c r="AE191" s="100"/>
      <c r="AF191" s="100"/>
      <c r="AG191" s="101"/>
      <c r="AH191" s="103"/>
      <c r="AI191" s="103"/>
      <c r="AJ191" s="110"/>
      <c r="AK191" s="101"/>
      <c r="AL191" s="101"/>
      <c r="AM191" s="100"/>
      <c r="AN191" s="122"/>
      <c r="AO191" s="101"/>
      <c r="AP191" s="103"/>
      <c r="AQ191" s="103"/>
      <c r="AR191" s="213"/>
    </row>
    <row r="192" spans="1:44" ht="31.5" x14ac:dyDescent="0.25">
      <c r="A192" s="171"/>
      <c r="B192" s="110"/>
      <c r="C192" s="101"/>
      <c r="D192" s="105"/>
      <c r="E192" s="169"/>
      <c r="F192" s="105" t="s">
        <v>279</v>
      </c>
      <c r="G192" s="44" t="s">
        <v>168</v>
      </c>
      <c r="H192" s="17">
        <v>43617</v>
      </c>
      <c r="I192" s="17">
        <v>43830</v>
      </c>
      <c r="J192" s="68" t="s">
        <v>167</v>
      </c>
      <c r="K192" s="170"/>
      <c r="L192" s="108"/>
      <c r="M192" s="105"/>
      <c r="N192" s="105"/>
      <c r="O192" s="116"/>
      <c r="P192" s="117"/>
      <c r="Q192" s="101"/>
      <c r="R192" s="103"/>
      <c r="S192" s="103"/>
      <c r="T192" s="110"/>
      <c r="U192" s="101"/>
      <c r="V192" s="101"/>
      <c r="W192" s="100"/>
      <c r="X192" s="100"/>
      <c r="Y192" s="101"/>
      <c r="Z192" s="103"/>
      <c r="AA192" s="103"/>
      <c r="AB192" s="110"/>
      <c r="AC192" s="101"/>
      <c r="AD192" s="101"/>
      <c r="AE192" s="100"/>
      <c r="AF192" s="100"/>
      <c r="AG192" s="101"/>
      <c r="AH192" s="103"/>
      <c r="AI192" s="103"/>
      <c r="AJ192" s="110"/>
      <c r="AK192" s="101"/>
      <c r="AL192" s="101"/>
      <c r="AM192" s="100"/>
      <c r="AN192" s="122"/>
      <c r="AO192" s="101"/>
      <c r="AP192" s="103"/>
      <c r="AQ192" s="103"/>
      <c r="AR192" s="213"/>
    </row>
    <row r="193" spans="1:44" ht="31.5" x14ac:dyDescent="0.25">
      <c r="A193" s="171"/>
      <c r="B193" s="110"/>
      <c r="C193" s="101"/>
      <c r="D193" s="105"/>
      <c r="E193" s="169"/>
      <c r="F193" s="105"/>
      <c r="G193" s="44" t="s">
        <v>843</v>
      </c>
      <c r="H193" s="17">
        <v>43466</v>
      </c>
      <c r="I193" s="17">
        <v>43616</v>
      </c>
      <c r="J193" s="68" t="s">
        <v>167</v>
      </c>
      <c r="K193" s="170"/>
      <c r="L193" s="108"/>
      <c r="M193" s="105"/>
      <c r="N193" s="105"/>
      <c r="O193" s="116"/>
      <c r="P193" s="117"/>
      <c r="Q193" s="101"/>
      <c r="R193" s="103"/>
      <c r="S193" s="103"/>
      <c r="T193" s="110"/>
      <c r="U193" s="101"/>
      <c r="V193" s="101"/>
      <c r="W193" s="100"/>
      <c r="X193" s="100"/>
      <c r="Y193" s="101"/>
      <c r="Z193" s="103"/>
      <c r="AA193" s="103"/>
      <c r="AB193" s="110"/>
      <c r="AC193" s="101"/>
      <c r="AD193" s="101"/>
      <c r="AE193" s="100"/>
      <c r="AF193" s="100"/>
      <c r="AG193" s="101"/>
      <c r="AH193" s="103"/>
      <c r="AI193" s="103"/>
      <c r="AJ193" s="110"/>
      <c r="AK193" s="101"/>
      <c r="AL193" s="101"/>
      <c r="AM193" s="100"/>
      <c r="AN193" s="122"/>
      <c r="AO193" s="101"/>
      <c r="AP193" s="103"/>
      <c r="AQ193" s="103"/>
      <c r="AR193" s="213"/>
    </row>
    <row r="194" spans="1:44" ht="31.5" x14ac:dyDescent="0.25">
      <c r="A194" s="171"/>
      <c r="B194" s="110"/>
      <c r="C194" s="101"/>
      <c r="D194" s="105"/>
      <c r="E194" s="169"/>
      <c r="F194" s="105"/>
      <c r="G194" s="44" t="s">
        <v>169</v>
      </c>
      <c r="H194" s="17">
        <v>43466</v>
      </c>
      <c r="I194" s="17">
        <v>43646</v>
      </c>
      <c r="J194" s="68" t="s">
        <v>167</v>
      </c>
      <c r="K194" s="170"/>
      <c r="L194" s="108"/>
      <c r="M194" s="105"/>
      <c r="N194" s="105"/>
      <c r="O194" s="116"/>
      <c r="P194" s="117"/>
      <c r="Q194" s="101"/>
      <c r="R194" s="103"/>
      <c r="S194" s="103"/>
      <c r="T194" s="110"/>
      <c r="U194" s="101"/>
      <c r="V194" s="101"/>
      <c r="W194" s="100"/>
      <c r="X194" s="100"/>
      <c r="Y194" s="101"/>
      <c r="Z194" s="103"/>
      <c r="AA194" s="103"/>
      <c r="AB194" s="110"/>
      <c r="AC194" s="101"/>
      <c r="AD194" s="101"/>
      <c r="AE194" s="100"/>
      <c r="AF194" s="100"/>
      <c r="AG194" s="101"/>
      <c r="AH194" s="103"/>
      <c r="AI194" s="103"/>
      <c r="AJ194" s="110"/>
      <c r="AK194" s="101"/>
      <c r="AL194" s="101"/>
      <c r="AM194" s="100"/>
      <c r="AN194" s="122"/>
      <c r="AO194" s="101"/>
      <c r="AP194" s="103"/>
      <c r="AQ194" s="103"/>
      <c r="AR194" s="213"/>
    </row>
    <row r="195" spans="1:44" ht="47.25" x14ac:dyDescent="0.25">
      <c r="A195" s="171"/>
      <c r="B195" s="110"/>
      <c r="C195" s="101"/>
      <c r="D195" s="105"/>
      <c r="E195" s="169"/>
      <c r="F195" s="105"/>
      <c r="G195" s="44" t="s">
        <v>414</v>
      </c>
      <c r="H195" s="17">
        <v>43647</v>
      </c>
      <c r="I195" s="17">
        <v>43830</v>
      </c>
      <c r="J195" s="68" t="s">
        <v>167</v>
      </c>
      <c r="K195" s="170"/>
      <c r="L195" s="108"/>
      <c r="M195" s="105"/>
      <c r="N195" s="105"/>
      <c r="O195" s="116"/>
      <c r="P195" s="117"/>
      <c r="Q195" s="101"/>
      <c r="R195" s="103"/>
      <c r="S195" s="103"/>
      <c r="T195" s="110"/>
      <c r="U195" s="101"/>
      <c r="V195" s="101"/>
      <c r="W195" s="100"/>
      <c r="X195" s="100"/>
      <c r="Y195" s="101"/>
      <c r="Z195" s="103"/>
      <c r="AA195" s="103"/>
      <c r="AB195" s="110"/>
      <c r="AC195" s="101"/>
      <c r="AD195" s="101"/>
      <c r="AE195" s="100"/>
      <c r="AF195" s="100"/>
      <c r="AG195" s="101"/>
      <c r="AH195" s="103"/>
      <c r="AI195" s="103"/>
      <c r="AJ195" s="110"/>
      <c r="AK195" s="101"/>
      <c r="AL195" s="101"/>
      <c r="AM195" s="100"/>
      <c r="AN195" s="122"/>
      <c r="AO195" s="101"/>
      <c r="AP195" s="103"/>
      <c r="AQ195" s="103"/>
      <c r="AR195" s="213"/>
    </row>
    <row r="196" spans="1:44" ht="31.5" x14ac:dyDescent="0.25">
      <c r="A196" s="171"/>
      <c r="B196" s="110"/>
      <c r="C196" s="101"/>
      <c r="D196" s="105"/>
      <c r="E196" s="169"/>
      <c r="F196" s="105" t="s">
        <v>280</v>
      </c>
      <c r="G196" s="44" t="s">
        <v>170</v>
      </c>
      <c r="H196" s="17">
        <v>43466</v>
      </c>
      <c r="I196" s="17">
        <v>43830</v>
      </c>
      <c r="J196" s="68" t="s">
        <v>167</v>
      </c>
      <c r="K196" s="170"/>
      <c r="L196" s="108"/>
      <c r="M196" s="105"/>
      <c r="N196" s="105"/>
      <c r="O196" s="116"/>
      <c r="P196" s="117"/>
      <c r="Q196" s="101"/>
      <c r="R196" s="103"/>
      <c r="S196" s="103"/>
      <c r="T196" s="110"/>
      <c r="U196" s="101"/>
      <c r="V196" s="101"/>
      <c r="W196" s="100"/>
      <c r="X196" s="100"/>
      <c r="Y196" s="101"/>
      <c r="Z196" s="103"/>
      <c r="AA196" s="103"/>
      <c r="AB196" s="110"/>
      <c r="AC196" s="101"/>
      <c r="AD196" s="101"/>
      <c r="AE196" s="100"/>
      <c r="AF196" s="100"/>
      <c r="AG196" s="101"/>
      <c r="AH196" s="103"/>
      <c r="AI196" s="103"/>
      <c r="AJ196" s="110"/>
      <c r="AK196" s="101"/>
      <c r="AL196" s="101"/>
      <c r="AM196" s="100"/>
      <c r="AN196" s="122"/>
      <c r="AO196" s="101"/>
      <c r="AP196" s="103"/>
      <c r="AQ196" s="103"/>
      <c r="AR196" s="213"/>
    </row>
    <row r="197" spans="1:44" ht="31.5" x14ac:dyDescent="0.25">
      <c r="A197" s="171"/>
      <c r="B197" s="110"/>
      <c r="C197" s="101"/>
      <c r="D197" s="105"/>
      <c r="E197" s="169"/>
      <c r="F197" s="105"/>
      <c r="G197" s="44" t="s">
        <v>171</v>
      </c>
      <c r="H197" s="17">
        <v>43466</v>
      </c>
      <c r="I197" s="17" t="s">
        <v>172</v>
      </c>
      <c r="J197" s="68" t="s">
        <v>167</v>
      </c>
      <c r="K197" s="170"/>
      <c r="L197" s="108"/>
      <c r="M197" s="105"/>
      <c r="N197" s="105"/>
      <c r="O197" s="116"/>
      <c r="P197" s="117"/>
      <c r="Q197" s="101"/>
      <c r="R197" s="103"/>
      <c r="S197" s="103"/>
      <c r="T197" s="110"/>
      <c r="U197" s="101"/>
      <c r="V197" s="101"/>
      <c r="W197" s="100"/>
      <c r="X197" s="100"/>
      <c r="Y197" s="101"/>
      <c r="Z197" s="103"/>
      <c r="AA197" s="103"/>
      <c r="AB197" s="110"/>
      <c r="AC197" s="101"/>
      <c r="AD197" s="101"/>
      <c r="AE197" s="100"/>
      <c r="AF197" s="100"/>
      <c r="AG197" s="101"/>
      <c r="AH197" s="103"/>
      <c r="AI197" s="103"/>
      <c r="AJ197" s="110"/>
      <c r="AK197" s="101"/>
      <c r="AL197" s="101"/>
      <c r="AM197" s="100"/>
      <c r="AN197" s="122"/>
      <c r="AO197" s="101"/>
      <c r="AP197" s="103"/>
      <c r="AQ197" s="103"/>
      <c r="AR197" s="213"/>
    </row>
    <row r="198" spans="1:44" ht="31.5" x14ac:dyDescent="0.25">
      <c r="A198" s="171"/>
      <c r="B198" s="110"/>
      <c r="C198" s="101"/>
      <c r="D198" s="105"/>
      <c r="E198" s="169"/>
      <c r="F198" s="105" t="s">
        <v>281</v>
      </c>
      <c r="G198" s="44" t="s">
        <v>102</v>
      </c>
      <c r="H198" s="17">
        <v>43480</v>
      </c>
      <c r="I198" s="17">
        <v>43585</v>
      </c>
      <c r="J198" s="68" t="s">
        <v>167</v>
      </c>
      <c r="K198" s="170"/>
      <c r="L198" s="108"/>
      <c r="M198" s="105"/>
      <c r="N198" s="105"/>
      <c r="O198" s="116"/>
      <c r="P198" s="117"/>
      <c r="Q198" s="101"/>
      <c r="R198" s="103"/>
      <c r="S198" s="103"/>
      <c r="T198" s="110"/>
      <c r="U198" s="101"/>
      <c r="V198" s="101"/>
      <c r="W198" s="100"/>
      <c r="X198" s="100"/>
      <c r="Y198" s="101"/>
      <c r="Z198" s="103"/>
      <c r="AA198" s="103"/>
      <c r="AB198" s="110"/>
      <c r="AC198" s="101"/>
      <c r="AD198" s="101"/>
      <c r="AE198" s="100"/>
      <c r="AF198" s="100"/>
      <c r="AG198" s="101"/>
      <c r="AH198" s="103"/>
      <c r="AI198" s="103"/>
      <c r="AJ198" s="110"/>
      <c r="AK198" s="101"/>
      <c r="AL198" s="101"/>
      <c r="AM198" s="100"/>
      <c r="AN198" s="122"/>
      <c r="AO198" s="101"/>
      <c r="AP198" s="103"/>
      <c r="AQ198" s="103"/>
      <c r="AR198" s="213"/>
    </row>
    <row r="199" spans="1:44" ht="31.5" x14ac:dyDescent="0.25">
      <c r="A199" s="171"/>
      <c r="B199" s="110"/>
      <c r="C199" s="101"/>
      <c r="D199" s="105"/>
      <c r="E199" s="169"/>
      <c r="F199" s="105"/>
      <c r="G199" s="44" t="s">
        <v>103</v>
      </c>
      <c r="H199" s="17">
        <v>43480</v>
      </c>
      <c r="I199" s="17">
        <v>43830</v>
      </c>
      <c r="J199" s="68" t="s">
        <v>167</v>
      </c>
      <c r="K199" s="170"/>
      <c r="L199" s="108"/>
      <c r="M199" s="105"/>
      <c r="N199" s="105"/>
      <c r="O199" s="116"/>
      <c r="P199" s="117"/>
      <c r="Q199" s="101"/>
      <c r="R199" s="103"/>
      <c r="S199" s="103"/>
      <c r="T199" s="110"/>
      <c r="U199" s="101"/>
      <c r="V199" s="101"/>
      <c r="W199" s="100"/>
      <c r="X199" s="100"/>
      <c r="Y199" s="101"/>
      <c r="Z199" s="103"/>
      <c r="AA199" s="103"/>
      <c r="AB199" s="110"/>
      <c r="AC199" s="101"/>
      <c r="AD199" s="101"/>
      <c r="AE199" s="100"/>
      <c r="AF199" s="100"/>
      <c r="AG199" s="101"/>
      <c r="AH199" s="103"/>
      <c r="AI199" s="103"/>
      <c r="AJ199" s="110"/>
      <c r="AK199" s="101"/>
      <c r="AL199" s="101"/>
      <c r="AM199" s="100"/>
      <c r="AN199" s="122"/>
      <c r="AO199" s="101"/>
      <c r="AP199" s="103"/>
      <c r="AQ199" s="103"/>
      <c r="AR199" s="213"/>
    </row>
    <row r="200" spans="1:44" ht="31.5" x14ac:dyDescent="0.25">
      <c r="A200" s="171"/>
      <c r="B200" s="110"/>
      <c r="C200" s="101"/>
      <c r="D200" s="105"/>
      <c r="E200" s="169"/>
      <c r="F200" s="105"/>
      <c r="G200" s="44" t="s">
        <v>104</v>
      </c>
      <c r="H200" s="17">
        <v>43480</v>
      </c>
      <c r="I200" s="17">
        <v>43830</v>
      </c>
      <c r="J200" s="68" t="s">
        <v>167</v>
      </c>
      <c r="K200" s="170"/>
      <c r="L200" s="108"/>
      <c r="M200" s="105"/>
      <c r="N200" s="105"/>
      <c r="O200" s="116"/>
      <c r="P200" s="117"/>
      <c r="Q200" s="101"/>
      <c r="R200" s="103"/>
      <c r="S200" s="103"/>
      <c r="T200" s="110"/>
      <c r="U200" s="101"/>
      <c r="V200" s="101"/>
      <c r="W200" s="100"/>
      <c r="X200" s="100"/>
      <c r="Y200" s="101"/>
      <c r="Z200" s="103"/>
      <c r="AA200" s="103"/>
      <c r="AB200" s="110"/>
      <c r="AC200" s="101"/>
      <c r="AD200" s="101"/>
      <c r="AE200" s="100"/>
      <c r="AF200" s="100"/>
      <c r="AG200" s="101"/>
      <c r="AH200" s="103"/>
      <c r="AI200" s="103"/>
      <c r="AJ200" s="110"/>
      <c r="AK200" s="101"/>
      <c r="AL200" s="101"/>
      <c r="AM200" s="100"/>
      <c r="AN200" s="122"/>
      <c r="AO200" s="101"/>
      <c r="AP200" s="103"/>
      <c r="AQ200" s="103"/>
      <c r="AR200" s="213"/>
    </row>
    <row r="201" spans="1:44" ht="47.25" x14ac:dyDescent="0.25">
      <c r="A201" s="171"/>
      <c r="B201" s="110"/>
      <c r="C201" s="101"/>
      <c r="D201" s="105"/>
      <c r="E201" s="169"/>
      <c r="F201" s="105" t="s">
        <v>282</v>
      </c>
      <c r="G201" s="44" t="s">
        <v>283</v>
      </c>
      <c r="H201" s="17">
        <v>43466</v>
      </c>
      <c r="I201" s="17">
        <v>43830</v>
      </c>
      <c r="J201" s="68" t="s">
        <v>167</v>
      </c>
      <c r="K201" s="170"/>
      <c r="L201" s="108"/>
      <c r="M201" s="105"/>
      <c r="N201" s="105"/>
      <c r="O201" s="116"/>
      <c r="P201" s="117"/>
      <c r="Q201" s="101"/>
      <c r="R201" s="103"/>
      <c r="S201" s="103"/>
      <c r="T201" s="110"/>
      <c r="U201" s="101"/>
      <c r="V201" s="101"/>
      <c r="W201" s="100"/>
      <c r="X201" s="100"/>
      <c r="Y201" s="101"/>
      <c r="Z201" s="103"/>
      <c r="AA201" s="103"/>
      <c r="AB201" s="110"/>
      <c r="AC201" s="101"/>
      <c r="AD201" s="101"/>
      <c r="AE201" s="100"/>
      <c r="AF201" s="100"/>
      <c r="AG201" s="101"/>
      <c r="AH201" s="103"/>
      <c r="AI201" s="103"/>
      <c r="AJ201" s="110"/>
      <c r="AK201" s="101"/>
      <c r="AL201" s="101"/>
      <c r="AM201" s="100"/>
      <c r="AN201" s="122"/>
      <c r="AO201" s="101"/>
      <c r="AP201" s="103"/>
      <c r="AQ201" s="103"/>
      <c r="AR201" s="213"/>
    </row>
    <row r="202" spans="1:44" ht="31.5" x14ac:dyDescent="0.25">
      <c r="A202" s="171"/>
      <c r="B202" s="110"/>
      <c r="C202" s="101"/>
      <c r="D202" s="105"/>
      <c r="E202" s="169"/>
      <c r="F202" s="105"/>
      <c r="G202" s="44" t="s">
        <v>338</v>
      </c>
      <c r="H202" s="17">
        <v>43620</v>
      </c>
      <c r="I202" s="17">
        <v>43708</v>
      </c>
      <c r="J202" s="68" t="s">
        <v>167</v>
      </c>
      <c r="K202" s="170"/>
      <c r="L202" s="108"/>
      <c r="M202" s="105"/>
      <c r="N202" s="105"/>
      <c r="O202" s="116"/>
      <c r="P202" s="117"/>
      <c r="Q202" s="101"/>
      <c r="R202" s="103"/>
      <c r="S202" s="103"/>
      <c r="T202" s="110"/>
      <c r="U202" s="101"/>
      <c r="V202" s="101"/>
      <c r="W202" s="100"/>
      <c r="X202" s="100"/>
      <c r="Y202" s="101"/>
      <c r="Z202" s="103"/>
      <c r="AA202" s="103"/>
      <c r="AB202" s="110"/>
      <c r="AC202" s="101"/>
      <c r="AD202" s="101"/>
      <c r="AE202" s="100"/>
      <c r="AF202" s="100"/>
      <c r="AG202" s="101"/>
      <c r="AH202" s="103"/>
      <c r="AI202" s="103"/>
      <c r="AJ202" s="110"/>
      <c r="AK202" s="101"/>
      <c r="AL202" s="101"/>
      <c r="AM202" s="100"/>
      <c r="AN202" s="122"/>
      <c r="AO202" s="101"/>
      <c r="AP202" s="103"/>
      <c r="AQ202" s="103"/>
      <c r="AR202" s="213"/>
    </row>
    <row r="203" spans="1:44" s="11" customFormat="1" ht="47.25" x14ac:dyDescent="0.25">
      <c r="A203" s="171"/>
      <c r="B203" s="110"/>
      <c r="C203" s="101"/>
      <c r="D203" s="105"/>
      <c r="E203" s="169"/>
      <c r="F203" s="105"/>
      <c r="G203" s="44" t="s">
        <v>415</v>
      </c>
      <c r="H203" s="17">
        <v>43620</v>
      </c>
      <c r="I203" s="17">
        <v>43708</v>
      </c>
      <c r="J203" s="68" t="s">
        <v>167</v>
      </c>
      <c r="K203" s="170"/>
      <c r="L203" s="108"/>
      <c r="M203" s="105"/>
      <c r="N203" s="105"/>
      <c r="O203" s="116"/>
      <c r="P203" s="117"/>
      <c r="Q203" s="101"/>
      <c r="R203" s="103"/>
      <c r="S203" s="103"/>
      <c r="T203" s="110"/>
      <c r="U203" s="101"/>
      <c r="V203" s="101"/>
      <c r="W203" s="100"/>
      <c r="X203" s="100"/>
      <c r="Y203" s="101"/>
      <c r="Z203" s="103"/>
      <c r="AA203" s="103"/>
      <c r="AB203" s="110"/>
      <c r="AC203" s="101"/>
      <c r="AD203" s="101"/>
      <c r="AE203" s="100"/>
      <c r="AF203" s="100"/>
      <c r="AG203" s="101"/>
      <c r="AH203" s="103"/>
      <c r="AI203" s="103"/>
      <c r="AJ203" s="110"/>
      <c r="AK203" s="101"/>
      <c r="AL203" s="101"/>
      <c r="AM203" s="100"/>
      <c r="AN203" s="122"/>
      <c r="AO203" s="101"/>
      <c r="AP203" s="103"/>
      <c r="AQ203" s="103"/>
      <c r="AR203" s="213"/>
    </row>
    <row r="204" spans="1:44" ht="31.5" x14ac:dyDescent="0.25">
      <c r="A204" s="171"/>
      <c r="B204" s="110"/>
      <c r="C204" s="101"/>
      <c r="D204" s="105"/>
      <c r="E204" s="169"/>
      <c r="F204" s="105"/>
      <c r="G204" s="44" t="s">
        <v>337</v>
      </c>
      <c r="H204" s="17">
        <v>43710</v>
      </c>
      <c r="I204" s="17">
        <v>43830</v>
      </c>
      <c r="J204" s="68" t="s">
        <v>167</v>
      </c>
      <c r="K204" s="170"/>
      <c r="L204" s="108"/>
      <c r="M204" s="105"/>
      <c r="N204" s="105"/>
      <c r="O204" s="116"/>
      <c r="P204" s="117"/>
      <c r="Q204" s="101"/>
      <c r="R204" s="103"/>
      <c r="S204" s="103"/>
      <c r="T204" s="110"/>
      <c r="U204" s="101"/>
      <c r="V204" s="101"/>
      <c r="W204" s="100"/>
      <c r="X204" s="100"/>
      <c r="Y204" s="101"/>
      <c r="Z204" s="103"/>
      <c r="AA204" s="103"/>
      <c r="AB204" s="110"/>
      <c r="AC204" s="101"/>
      <c r="AD204" s="101"/>
      <c r="AE204" s="100"/>
      <c r="AF204" s="100"/>
      <c r="AG204" s="101"/>
      <c r="AH204" s="103"/>
      <c r="AI204" s="103"/>
      <c r="AJ204" s="110"/>
      <c r="AK204" s="101"/>
      <c r="AL204" s="101"/>
      <c r="AM204" s="100"/>
      <c r="AN204" s="122"/>
      <c r="AO204" s="101"/>
      <c r="AP204" s="103"/>
      <c r="AQ204" s="103"/>
      <c r="AR204" s="213"/>
    </row>
    <row r="205" spans="1:44" ht="47.25" x14ac:dyDescent="0.25">
      <c r="A205" s="171"/>
      <c r="B205" s="110"/>
      <c r="C205" s="101"/>
      <c r="D205" s="105"/>
      <c r="E205" s="169"/>
      <c r="F205" s="105" t="s">
        <v>284</v>
      </c>
      <c r="G205" s="44" t="s">
        <v>285</v>
      </c>
      <c r="H205" s="17">
        <v>43466</v>
      </c>
      <c r="I205" s="17">
        <v>43830</v>
      </c>
      <c r="J205" s="68" t="s">
        <v>167</v>
      </c>
      <c r="K205" s="170"/>
      <c r="L205" s="108"/>
      <c r="M205" s="105"/>
      <c r="N205" s="105"/>
      <c r="O205" s="116"/>
      <c r="P205" s="117"/>
      <c r="Q205" s="101"/>
      <c r="R205" s="103"/>
      <c r="S205" s="103"/>
      <c r="T205" s="110"/>
      <c r="U205" s="101"/>
      <c r="V205" s="101"/>
      <c r="W205" s="100"/>
      <c r="X205" s="100"/>
      <c r="Y205" s="101"/>
      <c r="Z205" s="103"/>
      <c r="AA205" s="103"/>
      <c r="AB205" s="110"/>
      <c r="AC205" s="101"/>
      <c r="AD205" s="101"/>
      <c r="AE205" s="100"/>
      <c r="AF205" s="100"/>
      <c r="AG205" s="101"/>
      <c r="AH205" s="103"/>
      <c r="AI205" s="103"/>
      <c r="AJ205" s="110"/>
      <c r="AK205" s="101"/>
      <c r="AL205" s="101"/>
      <c r="AM205" s="100"/>
      <c r="AN205" s="122"/>
      <c r="AO205" s="101"/>
      <c r="AP205" s="103"/>
      <c r="AQ205" s="103"/>
      <c r="AR205" s="213"/>
    </row>
    <row r="206" spans="1:44" ht="31.5" x14ac:dyDescent="0.25">
      <c r="A206" s="171"/>
      <c r="B206" s="110"/>
      <c r="C206" s="101"/>
      <c r="D206" s="105"/>
      <c r="E206" s="169"/>
      <c r="F206" s="105"/>
      <c r="G206" s="44" t="s">
        <v>286</v>
      </c>
      <c r="H206" s="17">
        <v>43620</v>
      </c>
      <c r="I206" s="17">
        <v>43708</v>
      </c>
      <c r="J206" s="68" t="s">
        <v>167</v>
      </c>
      <c r="K206" s="170"/>
      <c r="L206" s="108"/>
      <c r="M206" s="105"/>
      <c r="N206" s="105"/>
      <c r="O206" s="116"/>
      <c r="P206" s="117"/>
      <c r="Q206" s="101"/>
      <c r="R206" s="103"/>
      <c r="S206" s="103"/>
      <c r="T206" s="110"/>
      <c r="U206" s="101"/>
      <c r="V206" s="101"/>
      <c r="W206" s="100"/>
      <c r="X206" s="100"/>
      <c r="Y206" s="101"/>
      <c r="Z206" s="103"/>
      <c r="AA206" s="103"/>
      <c r="AB206" s="110"/>
      <c r="AC206" s="101"/>
      <c r="AD206" s="101"/>
      <c r="AE206" s="100"/>
      <c r="AF206" s="100"/>
      <c r="AG206" s="101"/>
      <c r="AH206" s="103"/>
      <c r="AI206" s="103"/>
      <c r="AJ206" s="110"/>
      <c r="AK206" s="101"/>
      <c r="AL206" s="101"/>
      <c r="AM206" s="100"/>
      <c r="AN206" s="122"/>
      <c r="AO206" s="101"/>
      <c r="AP206" s="103"/>
      <c r="AQ206" s="103"/>
      <c r="AR206" s="213"/>
    </row>
    <row r="207" spans="1:44" ht="31.5" x14ac:dyDescent="0.25">
      <c r="A207" s="171"/>
      <c r="B207" s="110"/>
      <c r="C207" s="101"/>
      <c r="D207" s="105"/>
      <c r="E207" s="169"/>
      <c r="F207" s="105"/>
      <c r="G207" s="44" t="s">
        <v>287</v>
      </c>
      <c r="H207" s="17">
        <v>43710</v>
      </c>
      <c r="I207" s="17">
        <v>43830</v>
      </c>
      <c r="J207" s="68" t="s">
        <v>167</v>
      </c>
      <c r="K207" s="170"/>
      <c r="L207" s="108"/>
      <c r="M207" s="105"/>
      <c r="N207" s="105"/>
      <c r="O207" s="116"/>
      <c r="P207" s="117"/>
      <c r="Q207" s="101"/>
      <c r="R207" s="103"/>
      <c r="S207" s="103"/>
      <c r="T207" s="110"/>
      <c r="U207" s="101"/>
      <c r="V207" s="101"/>
      <c r="W207" s="100"/>
      <c r="X207" s="100"/>
      <c r="Y207" s="101"/>
      <c r="Z207" s="103"/>
      <c r="AA207" s="103"/>
      <c r="AB207" s="110"/>
      <c r="AC207" s="101"/>
      <c r="AD207" s="101"/>
      <c r="AE207" s="100"/>
      <c r="AF207" s="100"/>
      <c r="AG207" s="101"/>
      <c r="AH207" s="103"/>
      <c r="AI207" s="103"/>
      <c r="AJ207" s="110"/>
      <c r="AK207" s="101"/>
      <c r="AL207" s="101"/>
      <c r="AM207" s="100"/>
      <c r="AN207" s="122"/>
      <c r="AO207" s="101"/>
      <c r="AP207" s="103"/>
      <c r="AQ207" s="103"/>
      <c r="AR207" s="215"/>
    </row>
    <row r="208" spans="1:44" ht="118.5" customHeight="1" x14ac:dyDescent="0.25">
      <c r="A208" s="172" t="s">
        <v>98</v>
      </c>
      <c r="B208" s="173" t="s">
        <v>158</v>
      </c>
      <c r="C208" s="168">
        <v>42</v>
      </c>
      <c r="D208" s="168" t="s">
        <v>1020</v>
      </c>
      <c r="E208" s="168">
        <v>0</v>
      </c>
      <c r="F208" s="163" t="s">
        <v>288</v>
      </c>
      <c r="G208" s="51" t="s">
        <v>174</v>
      </c>
      <c r="H208" s="52">
        <v>43647</v>
      </c>
      <c r="I208" s="52">
        <v>43708</v>
      </c>
      <c r="J208" s="95" t="s">
        <v>167</v>
      </c>
      <c r="K208" s="176" t="s">
        <v>321</v>
      </c>
      <c r="L208" s="170" t="s">
        <v>173</v>
      </c>
      <c r="M208" s="101" t="s">
        <v>500</v>
      </c>
      <c r="N208" s="101" t="s">
        <v>500</v>
      </c>
      <c r="O208" s="100" t="str">
        <f>IFERROR((0/0),"No aplica")</f>
        <v>No aplica</v>
      </c>
      <c r="P208" s="100">
        <f>IFERROR((0/2),"No aplica")</f>
        <v>0</v>
      </c>
      <c r="Q208" s="101" t="s">
        <v>457</v>
      </c>
      <c r="R208" s="103" t="s">
        <v>844</v>
      </c>
      <c r="S208" s="103" t="s">
        <v>596</v>
      </c>
      <c r="T208" s="110" t="s">
        <v>773</v>
      </c>
      <c r="U208" s="101" t="s">
        <v>774</v>
      </c>
      <c r="V208" s="101" t="s">
        <v>774</v>
      </c>
      <c r="W208" s="100" t="str">
        <f>IFERROR((0/0),"No aplica")</f>
        <v>No aplica</v>
      </c>
      <c r="X208" s="100">
        <f>IFERROR((0/2),"No aplica")</f>
        <v>0</v>
      </c>
      <c r="Y208" s="101" t="s">
        <v>457</v>
      </c>
      <c r="Z208" s="103" t="s">
        <v>986</v>
      </c>
      <c r="AA208" s="103" t="s">
        <v>973</v>
      </c>
      <c r="AB208" s="110" t="s">
        <v>773</v>
      </c>
      <c r="AC208" s="101" t="s">
        <v>774</v>
      </c>
      <c r="AD208" s="101" t="s">
        <v>774</v>
      </c>
      <c r="AE208" s="100" t="str">
        <f>IFERROR((0/0),"No aplica")</f>
        <v>No aplica</v>
      </c>
      <c r="AF208" s="100">
        <f>IFERROR((0/2),"No aplica")</f>
        <v>0</v>
      </c>
      <c r="AG208" s="101" t="s">
        <v>457</v>
      </c>
      <c r="AH208" s="103" t="s">
        <v>1265</v>
      </c>
      <c r="AI208" s="103" t="s">
        <v>1266</v>
      </c>
      <c r="AJ208" s="110" t="s">
        <v>773</v>
      </c>
      <c r="AK208" s="101" t="s">
        <v>773</v>
      </c>
      <c r="AL208" s="101" t="s">
        <v>773</v>
      </c>
      <c r="AM208" s="100">
        <f>IFERROR((2/2),"No aplica")</f>
        <v>1</v>
      </c>
      <c r="AN208" s="100">
        <f>IFERROR((2/2),"No aplica")</f>
        <v>1</v>
      </c>
      <c r="AO208" s="101" t="s">
        <v>458</v>
      </c>
      <c r="AP208" s="103" t="s">
        <v>1526</v>
      </c>
      <c r="AQ208" s="103" t="s">
        <v>1372</v>
      </c>
      <c r="AR208" s="212" t="s">
        <v>1373</v>
      </c>
    </row>
    <row r="209" spans="1:44" ht="118.5" customHeight="1" x14ac:dyDescent="0.25">
      <c r="A209" s="172"/>
      <c r="B209" s="173"/>
      <c r="C209" s="168"/>
      <c r="D209" s="168"/>
      <c r="E209" s="168"/>
      <c r="F209" s="163"/>
      <c r="G209" s="51" t="s">
        <v>175</v>
      </c>
      <c r="H209" s="52">
        <v>43709</v>
      </c>
      <c r="I209" s="52">
        <v>43769</v>
      </c>
      <c r="J209" s="95" t="s">
        <v>167</v>
      </c>
      <c r="K209" s="176"/>
      <c r="L209" s="170"/>
      <c r="M209" s="101"/>
      <c r="N209" s="101"/>
      <c r="O209" s="100"/>
      <c r="P209" s="100"/>
      <c r="Q209" s="101"/>
      <c r="R209" s="103"/>
      <c r="S209" s="103"/>
      <c r="T209" s="110"/>
      <c r="U209" s="101"/>
      <c r="V209" s="101"/>
      <c r="W209" s="100"/>
      <c r="X209" s="100"/>
      <c r="Y209" s="101"/>
      <c r="Z209" s="103"/>
      <c r="AA209" s="103"/>
      <c r="AB209" s="110"/>
      <c r="AC209" s="101"/>
      <c r="AD209" s="101"/>
      <c r="AE209" s="100"/>
      <c r="AF209" s="100"/>
      <c r="AG209" s="101"/>
      <c r="AH209" s="103"/>
      <c r="AI209" s="103"/>
      <c r="AJ209" s="110"/>
      <c r="AK209" s="101"/>
      <c r="AL209" s="101"/>
      <c r="AM209" s="100"/>
      <c r="AN209" s="100"/>
      <c r="AO209" s="101"/>
      <c r="AP209" s="103"/>
      <c r="AQ209" s="103"/>
      <c r="AR209" s="213"/>
    </row>
    <row r="210" spans="1:44" ht="118.5" customHeight="1" x14ac:dyDescent="0.25">
      <c r="A210" s="172"/>
      <c r="B210" s="173"/>
      <c r="C210" s="168"/>
      <c r="D210" s="168"/>
      <c r="E210" s="168"/>
      <c r="F210" s="163" t="s">
        <v>289</v>
      </c>
      <c r="G210" s="51" t="s">
        <v>416</v>
      </c>
      <c r="H210" s="52">
        <v>43556</v>
      </c>
      <c r="I210" s="52">
        <v>43830</v>
      </c>
      <c r="J210" s="95" t="s">
        <v>167</v>
      </c>
      <c r="K210" s="176"/>
      <c r="L210" s="170"/>
      <c r="M210" s="101"/>
      <c r="N210" s="101"/>
      <c r="O210" s="100"/>
      <c r="P210" s="100"/>
      <c r="Q210" s="101"/>
      <c r="R210" s="103"/>
      <c r="S210" s="103"/>
      <c r="T210" s="110"/>
      <c r="U210" s="101"/>
      <c r="V210" s="101"/>
      <c r="W210" s="100"/>
      <c r="X210" s="100"/>
      <c r="Y210" s="101"/>
      <c r="Z210" s="103"/>
      <c r="AA210" s="103"/>
      <c r="AB210" s="110"/>
      <c r="AC210" s="101"/>
      <c r="AD210" s="101"/>
      <c r="AE210" s="100"/>
      <c r="AF210" s="100"/>
      <c r="AG210" s="101"/>
      <c r="AH210" s="103"/>
      <c r="AI210" s="103"/>
      <c r="AJ210" s="110"/>
      <c r="AK210" s="101"/>
      <c r="AL210" s="101"/>
      <c r="AM210" s="100"/>
      <c r="AN210" s="100"/>
      <c r="AO210" s="101"/>
      <c r="AP210" s="103"/>
      <c r="AQ210" s="103"/>
      <c r="AR210" s="213"/>
    </row>
    <row r="211" spans="1:44" ht="118.5" customHeight="1" x14ac:dyDescent="0.25">
      <c r="A211" s="172"/>
      <c r="B211" s="173"/>
      <c r="C211" s="168"/>
      <c r="D211" s="168"/>
      <c r="E211" s="168"/>
      <c r="F211" s="163"/>
      <c r="G211" s="51" t="s">
        <v>176</v>
      </c>
      <c r="H211" s="52">
        <v>43556</v>
      </c>
      <c r="I211" s="52">
        <v>43830</v>
      </c>
      <c r="J211" s="95" t="s">
        <v>167</v>
      </c>
      <c r="K211" s="176"/>
      <c r="L211" s="170"/>
      <c r="M211" s="101"/>
      <c r="N211" s="101"/>
      <c r="O211" s="100"/>
      <c r="P211" s="100"/>
      <c r="Q211" s="101"/>
      <c r="R211" s="103"/>
      <c r="S211" s="103"/>
      <c r="T211" s="110"/>
      <c r="U211" s="101"/>
      <c r="V211" s="101"/>
      <c r="W211" s="100"/>
      <c r="X211" s="100"/>
      <c r="Y211" s="101"/>
      <c r="Z211" s="103"/>
      <c r="AA211" s="103"/>
      <c r="AB211" s="110"/>
      <c r="AC211" s="101"/>
      <c r="AD211" s="101"/>
      <c r="AE211" s="100"/>
      <c r="AF211" s="100"/>
      <c r="AG211" s="101"/>
      <c r="AH211" s="103"/>
      <c r="AI211" s="103"/>
      <c r="AJ211" s="110"/>
      <c r="AK211" s="101"/>
      <c r="AL211" s="101"/>
      <c r="AM211" s="100"/>
      <c r="AN211" s="100"/>
      <c r="AO211" s="101"/>
      <c r="AP211" s="103"/>
      <c r="AQ211" s="103"/>
      <c r="AR211" s="213"/>
    </row>
    <row r="212" spans="1:44" ht="118.5" customHeight="1" x14ac:dyDescent="0.25">
      <c r="A212" s="172"/>
      <c r="B212" s="173"/>
      <c r="C212" s="168"/>
      <c r="D212" s="168"/>
      <c r="E212" s="168"/>
      <c r="F212" s="163"/>
      <c r="G212" s="51" t="s">
        <v>177</v>
      </c>
      <c r="H212" s="52" t="s">
        <v>178</v>
      </c>
      <c r="I212" s="52">
        <v>43830</v>
      </c>
      <c r="J212" s="95" t="s">
        <v>167</v>
      </c>
      <c r="K212" s="176"/>
      <c r="L212" s="170"/>
      <c r="M212" s="101"/>
      <c r="N212" s="101"/>
      <c r="O212" s="100"/>
      <c r="P212" s="100"/>
      <c r="Q212" s="101"/>
      <c r="R212" s="103"/>
      <c r="S212" s="103"/>
      <c r="T212" s="110"/>
      <c r="U212" s="101"/>
      <c r="V212" s="101"/>
      <c r="W212" s="100"/>
      <c r="X212" s="100"/>
      <c r="Y212" s="101"/>
      <c r="Z212" s="103"/>
      <c r="AA212" s="103"/>
      <c r="AB212" s="110"/>
      <c r="AC212" s="101"/>
      <c r="AD212" s="101"/>
      <c r="AE212" s="100"/>
      <c r="AF212" s="100"/>
      <c r="AG212" s="101"/>
      <c r="AH212" s="103"/>
      <c r="AI212" s="103"/>
      <c r="AJ212" s="110"/>
      <c r="AK212" s="101"/>
      <c r="AL212" s="101"/>
      <c r="AM212" s="100"/>
      <c r="AN212" s="100"/>
      <c r="AO212" s="101"/>
      <c r="AP212" s="103"/>
      <c r="AQ212" s="103"/>
      <c r="AR212" s="215"/>
    </row>
    <row r="213" spans="1:44" ht="58.5" customHeight="1" x14ac:dyDescent="0.25">
      <c r="A213" s="171" t="s">
        <v>98</v>
      </c>
      <c r="B213" s="110" t="s">
        <v>158</v>
      </c>
      <c r="C213" s="101">
        <v>43</v>
      </c>
      <c r="D213" s="101" t="s">
        <v>1021</v>
      </c>
      <c r="E213" s="101">
        <v>0</v>
      </c>
      <c r="F213" s="105" t="s">
        <v>290</v>
      </c>
      <c r="G213" s="44" t="s">
        <v>180</v>
      </c>
      <c r="H213" s="17">
        <v>43647</v>
      </c>
      <c r="I213" s="17">
        <v>43708</v>
      </c>
      <c r="J213" s="68" t="s">
        <v>167</v>
      </c>
      <c r="K213" s="170" t="s">
        <v>321</v>
      </c>
      <c r="L213" s="170" t="s">
        <v>179</v>
      </c>
      <c r="M213" s="101" t="s">
        <v>501</v>
      </c>
      <c r="N213" s="101" t="s">
        <v>501</v>
      </c>
      <c r="O213" s="100" t="str">
        <f>IFERROR((0/0),"No aplica")</f>
        <v>No aplica</v>
      </c>
      <c r="P213" s="100">
        <f>IFERROR((0/1),"No aplica")</f>
        <v>0</v>
      </c>
      <c r="Q213" s="101" t="s">
        <v>457</v>
      </c>
      <c r="R213" s="103" t="s">
        <v>569</v>
      </c>
      <c r="S213" s="103" t="s">
        <v>597</v>
      </c>
      <c r="T213" s="110" t="s">
        <v>179</v>
      </c>
      <c r="U213" s="101" t="s">
        <v>501</v>
      </c>
      <c r="V213" s="101" t="s">
        <v>501</v>
      </c>
      <c r="W213" s="100" t="str">
        <f>IFERROR((0/0),"No aplica")</f>
        <v>No aplica</v>
      </c>
      <c r="X213" s="100">
        <f>IFERROR((0/1),"No aplica")</f>
        <v>0</v>
      </c>
      <c r="Y213" s="101" t="s">
        <v>457</v>
      </c>
      <c r="Z213" s="103" t="s">
        <v>772</v>
      </c>
      <c r="AA213" s="103" t="s">
        <v>974</v>
      </c>
      <c r="AB213" s="110" t="s">
        <v>179</v>
      </c>
      <c r="AC213" s="101" t="s">
        <v>501</v>
      </c>
      <c r="AD213" s="101" t="s">
        <v>501</v>
      </c>
      <c r="AE213" s="100" t="str">
        <f>IFERROR((0/0),"No aplica")</f>
        <v>No aplica</v>
      </c>
      <c r="AF213" s="100">
        <f>IFERROR((0/1),"No aplica")</f>
        <v>0</v>
      </c>
      <c r="AG213" s="101" t="s">
        <v>457</v>
      </c>
      <c r="AH213" s="103" t="s">
        <v>1268</v>
      </c>
      <c r="AI213" s="103" t="s">
        <v>1267</v>
      </c>
      <c r="AJ213" s="110" t="s">
        <v>179</v>
      </c>
      <c r="AK213" s="101" t="s">
        <v>1374</v>
      </c>
      <c r="AL213" s="101" t="s">
        <v>1374</v>
      </c>
      <c r="AM213" s="100">
        <f>IFERROR((1/1),"No aplica")</f>
        <v>1</v>
      </c>
      <c r="AN213" s="100">
        <f>IFERROR((1/1),"No aplica")</f>
        <v>1</v>
      </c>
      <c r="AO213" s="101" t="s">
        <v>458</v>
      </c>
      <c r="AP213" s="103" t="s">
        <v>1473</v>
      </c>
      <c r="AQ213" s="103" t="s">
        <v>1472</v>
      </c>
      <c r="AR213" s="212" t="s">
        <v>1474</v>
      </c>
    </row>
    <row r="214" spans="1:44" ht="58.5" customHeight="1" x14ac:dyDescent="0.25">
      <c r="A214" s="171"/>
      <c r="B214" s="110"/>
      <c r="C214" s="101"/>
      <c r="D214" s="101"/>
      <c r="E214" s="101"/>
      <c r="F214" s="105"/>
      <c r="G214" s="44" t="s">
        <v>175</v>
      </c>
      <c r="H214" s="17">
        <v>43709</v>
      </c>
      <c r="I214" s="17">
        <v>43769</v>
      </c>
      <c r="J214" s="68" t="s">
        <v>167</v>
      </c>
      <c r="K214" s="170"/>
      <c r="L214" s="170"/>
      <c r="M214" s="101"/>
      <c r="N214" s="101"/>
      <c r="O214" s="100"/>
      <c r="P214" s="100"/>
      <c r="Q214" s="101"/>
      <c r="R214" s="103"/>
      <c r="S214" s="103"/>
      <c r="T214" s="110"/>
      <c r="U214" s="101"/>
      <c r="V214" s="101"/>
      <c r="W214" s="100"/>
      <c r="X214" s="100"/>
      <c r="Y214" s="101"/>
      <c r="Z214" s="103"/>
      <c r="AA214" s="103"/>
      <c r="AB214" s="110"/>
      <c r="AC214" s="101"/>
      <c r="AD214" s="101"/>
      <c r="AE214" s="100"/>
      <c r="AF214" s="100"/>
      <c r="AG214" s="101"/>
      <c r="AH214" s="103"/>
      <c r="AI214" s="103"/>
      <c r="AJ214" s="110"/>
      <c r="AK214" s="101"/>
      <c r="AL214" s="101"/>
      <c r="AM214" s="100"/>
      <c r="AN214" s="100"/>
      <c r="AO214" s="101"/>
      <c r="AP214" s="103"/>
      <c r="AQ214" s="103"/>
      <c r="AR214" s="213"/>
    </row>
    <row r="215" spans="1:44" ht="58.5" customHeight="1" x14ac:dyDescent="0.25">
      <c r="A215" s="171"/>
      <c r="B215" s="110"/>
      <c r="C215" s="101"/>
      <c r="D215" s="101"/>
      <c r="E215" s="101"/>
      <c r="F215" s="105"/>
      <c r="G215" s="44" t="s">
        <v>417</v>
      </c>
      <c r="H215" s="17">
        <v>43709</v>
      </c>
      <c r="I215" s="17">
        <v>43769</v>
      </c>
      <c r="J215" s="68" t="s">
        <v>167</v>
      </c>
      <c r="K215" s="170"/>
      <c r="L215" s="170"/>
      <c r="M215" s="101"/>
      <c r="N215" s="101"/>
      <c r="O215" s="100"/>
      <c r="P215" s="100"/>
      <c r="Q215" s="101"/>
      <c r="R215" s="103"/>
      <c r="S215" s="103"/>
      <c r="T215" s="110"/>
      <c r="U215" s="101"/>
      <c r="V215" s="101"/>
      <c r="W215" s="100"/>
      <c r="X215" s="100"/>
      <c r="Y215" s="101"/>
      <c r="Z215" s="103"/>
      <c r="AA215" s="103"/>
      <c r="AB215" s="110"/>
      <c r="AC215" s="101"/>
      <c r="AD215" s="101"/>
      <c r="AE215" s="100"/>
      <c r="AF215" s="100"/>
      <c r="AG215" s="101"/>
      <c r="AH215" s="103"/>
      <c r="AI215" s="103"/>
      <c r="AJ215" s="110"/>
      <c r="AK215" s="101"/>
      <c r="AL215" s="101"/>
      <c r="AM215" s="100"/>
      <c r="AN215" s="100"/>
      <c r="AO215" s="101"/>
      <c r="AP215" s="103"/>
      <c r="AQ215" s="103"/>
      <c r="AR215" s="215"/>
    </row>
    <row r="216" spans="1:44" x14ac:dyDescent="0.25">
      <c r="A216" s="92" t="s">
        <v>380</v>
      </c>
      <c r="B216" s="22" t="s">
        <v>380</v>
      </c>
      <c r="C216" s="7"/>
      <c r="D216" s="7" t="s">
        <v>380</v>
      </c>
      <c r="E216" s="7" t="s">
        <v>380</v>
      </c>
      <c r="F216" s="7" t="s">
        <v>380</v>
      </c>
      <c r="G216" s="45" t="s">
        <v>380</v>
      </c>
      <c r="H216" s="7" t="s">
        <v>380</v>
      </c>
      <c r="I216" s="7" t="s">
        <v>380</v>
      </c>
      <c r="J216" s="21" t="s">
        <v>380</v>
      </c>
      <c r="K216" s="29" t="s">
        <v>380</v>
      </c>
      <c r="L216" s="29" t="s">
        <v>380</v>
      </c>
      <c r="M216" s="7" t="s">
        <v>380</v>
      </c>
      <c r="N216" s="7" t="s">
        <v>380</v>
      </c>
      <c r="O216" s="7" t="s">
        <v>380</v>
      </c>
      <c r="P216" s="7" t="s">
        <v>380</v>
      </c>
      <c r="Q216" s="7" t="s">
        <v>380</v>
      </c>
      <c r="R216" s="7" t="s">
        <v>380</v>
      </c>
      <c r="S216" s="7" t="s">
        <v>380</v>
      </c>
      <c r="T216" s="22" t="s">
        <v>380</v>
      </c>
      <c r="U216" s="7" t="s">
        <v>380</v>
      </c>
      <c r="V216" s="7" t="s">
        <v>380</v>
      </c>
      <c r="W216" s="7" t="s">
        <v>380</v>
      </c>
      <c r="X216" s="7" t="s">
        <v>380</v>
      </c>
      <c r="Y216" s="22" t="s">
        <v>380</v>
      </c>
      <c r="Z216" s="81" t="s">
        <v>380</v>
      </c>
      <c r="AA216" s="81" t="s">
        <v>380</v>
      </c>
      <c r="AB216" s="22" t="s">
        <v>380</v>
      </c>
      <c r="AC216" s="7" t="s">
        <v>380</v>
      </c>
      <c r="AD216" s="7" t="s">
        <v>380</v>
      </c>
      <c r="AE216" s="7" t="s">
        <v>380</v>
      </c>
      <c r="AF216" s="71" t="s">
        <v>380</v>
      </c>
      <c r="AG216" s="7" t="s">
        <v>380</v>
      </c>
      <c r="AH216" s="81" t="s">
        <v>380</v>
      </c>
      <c r="AI216" s="81" t="s">
        <v>380</v>
      </c>
      <c r="AJ216" s="22" t="s">
        <v>380</v>
      </c>
      <c r="AK216" s="7" t="s">
        <v>380</v>
      </c>
      <c r="AL216" s="7" t="s">
        <v>380</v>
      </c>
      <c r="AM216" s="7" t="s">
        <v>380</v>
      </c>
      <c r="AN216" s="7" t="s">
        <v>380</v>
      </c>
      <c r="AO216" s="7" t="s">
        <v>380</v>
      </c>
      <c r="AP216" s="81" t="s">
        <v>380</v>
      </c>
      <c r="AQ216" s="81" t="s">
        <v>380</v>
      </c>
      <c r="AR216" s="82" t="s">
        <v>380</v>
      </c>
    </row>
    <row r="217" spans="1:44" ht="47.25" x14ac:dyDescent="0.25">
      <c r="A217" s="172" t="s">
        <v>100</v>
      </c>
      <c r="B217" s="173" t="s">
        <v>181</v>
      </c>
      <c r="C217" s="168">
        <v>44</v>
      </c>
      <c r="D217" s="168" t="s">
        <v>1022</v>
      </c>
      <c r="E217" s="168">
        <v>0</v>
      </c>
      <c r="F217" s="163" t="s">
        <v>182</v>
      </c>
      <c r="G217" s="51" t="s">
        <v>183</v>
      </c>
      <c r="H217" s="52">
        <v>43466</v>
      </c>
      <c r="I217" s="52">
        <v>43495</v>
      </c>
      <c r="J217" s="53" t="s">
        <v>728</v>
      </c>
      <c r="K217" s="176" t="s">
        <v>321</v>
      </c>
      <c r="L217" s="170" t="s">
        <v>291</v>
      </c>
      <c r="M217" s="101" t="s">
        <v>502</v>
      </c>
      <c r="N217" s="101" t="s">
        <v>502</v>
      </c>
      <c r="O217" s="100" t="str">
        <f>IFERROR((0/0),"No aplica")</f>
        <v>No aplica</v>
      </c>
      <c r="P217" s="100">
        <f>IFERROR((0/8),"No aplica")</f>
        <v>0</v>
      </c>
      <c r="Q217" s="101" t="s">
        <v>457</v>
      </c>
      <c r="R217" s="103" t="s">
        <v>845</v>
      </c>
      <c r="S217" s="103" t="s">
        <v>846</v>
      </c>
      <c r="T217" s="110" t="s">
        <v>776</v>
      </c>
      <c r="U217" s="101" t="s">
        <v>778</v>
      </c>
      <c r="V217" s="101" t="s">
        <v>777</v>
      </c>
      <c r="W217" s="100">
        <f>IFERROR((0/1),"No aplica")</f>
        <v>0</v>
      </c>
      <c r="X217" s="100">
        <f>IFERROR((0/8),"No aplica")</f>
        <v>0</v>
      </c>
      <c r="Y217" s="101" t="s">
        <v>474</v>
      </c>
      <c r="Z217" s="103" t="s">
        <v>775</v>
      </c>
      <c r="AA217" s="103" t="s">
        <v>975</v>
      </c>
      <c r="AB217" s="110" t="s">
        <v>776</v>
      </c>
      <c r="AC217" s="101" t="s">
        <v>1269</v>
      </c>
      <c r="AD217" s="101" t="s">
        <v>1270</v>
      </c>
      <c r="AE217" s="100">
        <f>IFERROR((4/3),"No aplica")</f>
        <v>1.3333333333333333</v>
      </c>
      <c r="AF217" s="100">
        <f>IFERROR((4/8),"No aplica")</f>
        <v>0.5</v>
      </c>
      <c r="AG217" s="101" t="s">
        <v>458</v>
      </c>
      <c r="AH217" s="103" t="s">
        <v>1271</v>
      </c>
      <c r="AI217" s="103" t="s">
        <v>1272</v>
      </c>
      <c r="AJ217" s="110" t="s">
        <v>776</v>
      </c>
      <c r="AK217" s="101" t="s">
        <v>1270</v>
      </c>
      <c r="AL217" s="101" t="s">
        <v>1270</v>
      </c>
      <c r="AM217" s="100">
        <f>IFERROR((4/4),"No aplica")</f>
        <v>1</v>
      </c>
      <c r="AN217" s="100">
        <f>IFERROR((8/8),"No aplica")</f>
        <v>1</v>
      </c>
      <c r="AO217" s="101" t="s">
        <v>458</v>
      </c>
      <c r="AP217" s="103" t="s">
        <v>1375</v>
      </c>
      <c r="AQ217" s="103" t="s">
        <v>1376</v>
      </c>
      <c r="AR217" s="212" t="s">
        <v>1527</v>
      </c>
    </row>
    <row r="218" spans="1:44" ht="47.25" x14ac:dyDescent="0.25">
      <c r="A218" s="172"/>
      <c r="B218" s="173"/>
      <c r="C218" s="168"/>
      <c r="D218" s="168"/>
      <c r="E218" s="168"/>
      <c r="F218" s="163"/>
      <c r="G218" s="51" t="s">
        <v>184</v>
      </c>
      <c r="H218" s="52">
        <v>43525</v>
      </c>
      <c r="I218" s="52">
        <v>43585</v>
      </c>
      <c r="J218" s="53" t="s">
        <v>728</v>
      </c>
      <c r="K218" s="176"/>
      <c r="L218" s="170"/>
      <c r="M218" s="101"/>
      <c r="N218" s="101"/>
      <c r="O218" s="100"/>
      <c r="P218" s="100"/>
      <c r="Q218" s="101"/>
      <c r="R218" s="103"/>
      <c r="S218" s="103"/>
      <c r="T218" s="110"/>
      <c r="U218" s="101"/>
      <c r="V218" s="101"/>
      <c r="W218" s="100"/>
      <c r="X218" s="100"/>
      <c r="Y218" s="101"/>
      <c r="Z218" s="103"/>
      <c r="AA218" s="103"/>
      <c r="AB218" s="110"/>
      <c r="AC218" s="101"/>
      <c r="AD218" s="101"/>
      <c r="AE218" s="100"/>
      <c r="AF218" s="100"/>
      <c r="AG218" s="101"/>
      <c r="AH218" s="103"/>
      <c r="AI218" s="103"/>
      <c r="AJ218" s="110"/>
      <c r="AK218" s="101"/>
      <c r="AL218" s="101"/>
      <c r="AM218" s="100"/>
      <c r="AN218" s="100"/>
      <c r="AO218" s="101"/>
      <c r="AP218" s="103"/>
      <c r="AQ218" s="103"/>
      <c r="AR218" s="213"/>
    </row>
    <row r="219" spans="1:44" ht="47.25" x14ac:dyDescent="0.25">
      <c r="A219" s="172"/>
      <c r="B219" s="173"/>
      <c r="C219" s="168"/>
      <c r="D219" s="168"/>
      <c r="E219" s="168"/>
      <c r="F219" s="163"/>
      <c r="G219" s="51" t="s">
        <v>847</v>
      </c>
      <c r="H219" s="52">
        <v>43525</v>
      </c>
      <c r="I219" s="52">
        <v>43645</v>
      </c>
      <c r="J219" s="53" t="s">
        <v>728</v>
      </c>
      <c r="K219" s="176"/>
      <c r="L219" s="170"/>
      <c r="M219" s="101"/>
      <c r="N219" s="101"/>
      <c r="O219" s="100"/>
      <c r="P219" s="100"/>
      <c r="Q219" s="101"/>
      <c r="R219" s="103"/>
      <c r="S219" s="103"/>
      <c r="T219" s="110"/>
      <c r="U219" s="101"/>
      <c r="V219" s="101"/>
      <c r="W219" s="100"/>
      <c r="X219" s="100"/>
      <c r="Y219" s="101"/>
      <c r="Z219" s="103"/>
      <c r="AA219" s="103"/>
      <c r="AB219" s="110"/>
      <c r="AC219" s="101"/>
      <c r="AD219" s="101"/>
      <c r="AE219" s="100"/>
      <c r="AF219" s="100"/>
      <c r="AG219" s="101"/>
      <c r="AH219" s="103"/>
      <c r="AI219" s="103"/>
      <c r="AJ219" s="110"/>
      <c r="AK219" s="101"/>
      <c r="AL219" s="101"/>
      <c r="AM219" s="100"/>
      <c r="AN219" s="100"/>
      <c r="AO219" s="101"/>
      <c r="AP219" s="103"/>
      <c r="AQ219" s="103"/>
      <c r="AR219" s="213"/>
    </row>
    <row r="220" spans="1:44" ht="47.25" x14ac:dyDescent="0.25">
      <c r="A220" s="172"/>
      <c r="B220" s="173"/>
      <c r="C220" s="168"/>
      <c r="D220" s="168"/>
      <c r="E220" s="168"/>
      <c r="F220" s="163" t="s">
        <v>292</v>
      </c>
      <c r="G220" s="51" t="s">
        <v>185</v>
      </c>
      <c r="H220" s="52">
        <v>43480</v>
      </c>
      <c r="I220" s="52">
        <v>43830</v>
      </c>
      <c r="J220" s="53" t="s">
        <v>728</v>
      </c>
      <c r="K220" s="176"/>
      <c r="L220" s="170"/>
      <c r="M220" s="101"/>
      <c r="N220" s="101"/>
      <c r="O220" s="100"/>
      <c r="P220" s="100"/>
      <c r="Q220" s="101"/>
      <c r="R220" s="103"/>
      <c r="S220" s="103"/>
      <c r="T220" s="110"/>
      <c r="U220" s="101"/>
      <c r="V220" s="101"/>
      <c r="W220" s="100"/>
      <c r="X220" s="100"/>
      <c r="Y220" s="101"/>
      <c r="Z220" s="103"/>
      <c r="AA220" s="103"/>
      <c r="AB220" s="110"/>
      <c r="AC220" s="101"/>
      <c r="AD220" s="101"/>
      <c r="AE220" s="100"/>
      <c r="AF220" s="100"/>
      <c r="AG220" s="101"/>
      <c r="AH220" s="103"/>
      <c r="AI220" s="103"/>
      <c r="AJ220" s="110"/>
      <c r="AK220" s="101"/>
      <c r="AL220" s="101"/>
      <c r="AM220" s="100"/>
      <c r="AN220" s="100"/>
      <c r="AO220" s="101"/>
      <c r="AP220" s="103"/>
      <c r="AQ220" s="103"/>
      <c r="AR220" s="213"/>
    </row>
    <row r="221" spans="1:44" ht="47.25" x14ac:dyDescent="0.25">
      <c r="A221" s="172"/>
      <c r="B221" s="173"/>
      <c r="C221" s="168"/>
      <c r="D221" s="168"/>
      <c r="E221" s="168"/>
      <c r="F221" s="163"/>
      <c r="G221" s="51" t="s">
        <v>186</v>
      </c>
      <c r="H221" s="52">
        <v>43480</v>
      </c>
      <c r="I221" s="52">
        <v>43830</v>
      </c>
      <c r="J221" s="53" t="s">
        <v>728</v>
      </c>
      <c r="K221" s="176"/>
      <c r="L221" s="170"/>
      <c r="M221" s="101"/>
      <c r="N221" s="101"/>
      <c r="O221" s="100"/>
      <c r="P221" s="100"/>
      <c r="Q221" s="101"/>
      <c r="R221" s="103"/>
      <c r="S221" s="103"/>
      <c r="T221" s="110"/>
      <c r="U221" s="101"/>
      <c r="V221" s="101"/>
      <c r="W221" s="100"/>
      <c r="X221" s="100"/>
      <c r="Y221" s="101"/>
      <c r="Z221" s="103"/>
      <c r="AA221" s="103"/>
      <c r="AB221" s="110"/>
      <c r="AC221" s="101"/>
      <c r="AD221" s="101"/>
      <c r="AE221" s="100"/>
      <c r="AF221" s="100"/>
      <c r="AG221" s="101"/>
      <c r="AH221" s="103"/>
      <c r="AI221" s="103"/>
      <c r="AJ221" s="110"/>
      <c r="AK221" s="101"/>
      <c r="AL221" s="101"/>
      <c r="AM221" s="100"/>
      <c r="AN221" s="100"/>
      <c r="AO221" s="101"/>
      <c r="AP221" s="103"/>
      <c r="AQ221" s="103"/>
      <c r="AR221" s="213"/>
    </row>
    <row r="222" spans="1:44" ht="47.25" x14ac:dyDescent="0.25">
      <c r="A222" s="172"/>
      <c r="B222" s="173"/>
      <c r="C222" s="168"/>
      <c r="D222" s="168"/>
      <c r="E222" s="168"/>
      <c r="F222" s="163" t="s">
        <v>187</v>
      </c>
      <c r="G222" s="51" t="s">
        <v>188</v>
      </c>
      <c r="H222" s="52">
        <v>43480</v>
      </c>
      <c r="I222" s="52">
        <v>43830</v>
      </c>
      <c r="J222" s="53" t="s">
        <v>728</v>
      </c>
      <c r="K222" s="176"/>
      <c r="L222" s="170"/>
      <c r="M222" s="101"/>
      <c r="N222" s="101"/>
      <c r="O222" s="100"/>
      <c r="P222" s="100"/>
      <c r="Q222" s="101"/>
      <c r="R222" s="103"/>
      <c r="S222" s="103"/>
      <c r="T222" s="110"/>
      <c r="U222" s="101"/>
      <c r="V222" s="101"/>
      <c r="W222" s="100"/>
      <c r="X222" s="100"/>
      <c r="Y222" s="101"/>
      <c r="Z222" s="103"/>
      <c r="AA222" s="103"/>
      <c r="AB222" s="110"/>
      <c r="AC222" s="101"/>
      <c r="AD222" s="101"/>
      <c r="AE222" s="100"/>
      <c r="AF222" s="100"/>
      <c r="AG222" s="101"/>
      <c r="AH222" s="103"/>
      <c r="AI222" s="103"/>
      <c r="AJ222" s="110"/>
      <c r="AK222" s="101"/>
      <c r="AL222" s="101"/>
      <c r="AM222" s="100"/>
      <c r="AN222" s="100"/>
      <c r="AO222" s="101"/>
      <c r="AP222" s="103"/>
      <c r="AQ222" s="103"/>
      <c r="AR222" s="213"/>
    </row>
    <row r="223" spans="1:44" ht="47.25" x14ac:dyDescent="0.25">
      <c r="A223" s="172"/>
      <c r="B223" s="173"/>
      <c r="C223" s="168"/>
      <c r="D223" s="168"/>
      <c r="E223" s="168"/>
      <c r="F223" s="163"/>
      <c r="G223" s="51" t="s">
        <v>189</v>
      </c>
      <c r="H223" s="52">
        <v>43480</v>
      </c>
      <c r="I223" s="52">
        <v>43830</v>
      </c>
      <c r="J223" s="53" t="s">
        <v>728</v>
      </c>
      <c r="K223" s="176"/>
      <c r="L223" s="170"/>
      <c r="M223" s="101"/>
      <c r="N223" s="101"/>
      <c r="O223" s="100"/>
      <c r="P223" s="100"/>
      <c r="Q223" s="101"/>
      <c r="R223" s="103"/>
      <c r="S223" s="103"/>
      <c r="T223" s="110"/>
      <c r="U223" s="101"/>
      <c r="V223" s="101"/>
      <c r="W223" s="100"/>
      <c r="X223" s="100"/>
      <c r="Y223" s="101"/>
      <c r="Z223" s="103"/>
      <c r="AA223" s="103"/>
      <c r="AB223" s="110"/>
      <c r="AC223" s="101"/>
      <c r="AD223" s="101"/>
      <c r="AE223" s="100"/>
      <c r="AF223" s="100"/>
      <c r="AG223" s="101"/>
      <c r="AH223" s="103"/>
      <c r="AI223" s="103"/>
      <c r="AJ223" s="110"/>
      <c r="AK223" s="101"/>
      <c r="AL223" s="101"/>
      <c r="AM223" s="100"/>
      <c r="AN223" s="100"/>
      <c r="AO223" s="101"/>
      <c r="AP223" s="103"/>
      <c r="AQ223" s="103"/>
      <c r="AR223" s="215"/>
    </row>
    <row r="224" spans="1:44" x14ac:dyDescent="0.25">
      <c r="A224" s="92" t="s">
        <v>380</v>
      </c>
      <c r="B224" s="22" t="s">
        <v>380</v>
      </c>
      <c r="C224" s="7"/>
      <c r="D224" s="7" t="s">
        <v>380</v>
      </c>
      <c r="E224" s="7" t="s">
        <v>380</v>
      </c>
      <c r="F224" s="7" t="s">
        <v>380</v>
      </c>
      <c r="G224" s="45" t="s">
        <v>380</v>
      </c>
      <c r="H224" s="7" t="s">
        <v>380</v>
      </c>
      <c r="I224" s="7" t="s">
        <v>380</v>
      </c>
      <c r="J224" s="21" t="s">
        <v>380</v>
      </c>
      <c r="K224" s="29" t="s">
        <v>380</v>
      </c>
      <c r="L224" s="29" t="s">
        <v>380</v>
      </c>
      <c r="M224" s="7" t="s">
        <v>380</v>
      </c>
      <c r="N224" s="7" t="s">
        <v>380</v>
      </c>
      <c r="O224" s="7" t="s">
        <v>380</v>
      </c>
      <c r="P224" s="7" t="s">
        <v>380</v>
      </c>
      <c r="Q224" s="7" t="s">
        <v>380</v>
      </c>
      <c r="R224" s="7" t="s">
        <v>380</v>
      </c>
      <c r="S224" s="7" t="s">
        <v>380</v>
      </c>
      <c r="T224" s="22" t="s">
        <v>380</v>
      </c>
      <c r="U224" s="7" t="s">
        <v>380</v>
      </c>
      <c r="V224" s="7" t="s">
        <v>380</v>
      </c>
      <c r="W224" s="7" t="s">
        <v>380</v>
      </c>
      <c r="X224" s="7" t="s">
        <v>380</v>
      </c>
      <c r="Y224" s="22" t="s">
        <v>380</v>
      </c>
      <c r="Z224" s="81" t="s">
        <v>380</v>
      </c>
      <c r="AA224" s="81" t="s">
        <v>380</v>
      </c>
      <c r="AB224" s="22" t="s">
        <v>380</v>
      </c>
      <c r="AC224" s="7" t="s">
        <v>380</v>
      </c>
      <c r="AD224" s="7" t="s">
        <v>380</v>
      </c>
      <c r="AE224" s="7" t="s">
        <v>380</v>
      </c>
      <c r="AF224" s="71" t="s">
        <v>380</v>
      </c>
      <c r="AG224" s="7" t="s">
        <v>380</v>
      </c>
      <c r="AH224" s="81" t="s">
        <v>380</v>
      </c>
      <c r="AI224" s="81" t="s">
        <v>380</v>
      </c>
      <c r="AJ224" s="22" t="s">
        <v>380</v>
      </c>
      <c r="AK224" s="7" t="s">
        <v>380</v>
      </c>
      <c r="AL224" s="7" t="s">
        <v>380</v>
      </c>
      <c r="AM224" s="7" t="s">
        <v>380</v>
      </c>
      <c r="AN224" s="7" t="s">
        <v>380</v>
      </c>
      <c r="AO224" s="7" t="s">
        <v>380</v>
      </c>
      <c r="AP224" s="81" t="s">
        <v>380</v>
      </c>
      <c r="AQ224" s="81" t="s">
        <v>380</v>
      </c>
      <c r="AR224" s="82" t="s">
        <v>380</v>
      </c>
    </row>
    <row r="225" spans="1:44" ht="31.5" x14ac:dyDescent="0.25">
      <c r="A225" s="156" t="s">
        <v>98</v>
      </c>
      <c r="B225" s="106" t="s">
        <v>293</v>
      </c>
      <c r="C225" s="105">
        <v>45</v>
      </c>
      <c r="D225" s="105" t="s">
        <v>1034</v>
      </c>
      <c r="E225" s="105">
        <v>0</v>
      </c>
      <c r="F225" s="105" t="s">
        <v>208</v>
      </c>
      <c r="G225" s="43" t="s">
        <v>1035</v>
      </c>
      <c r="H225" s="15">
        <v>43466</v>
      </c>
      <c r="I225" s="15" t="s">
        <v>82</v>
      </c>
      <c r="J225" s="68" t="s">
        <v>588</v>
      </c>
      <c r="K225" s="108" t="s">
        <v>322</v>
      </c>
      <c r="L225" s="108" t="s">
        <v>218</v>
      </c>
      <c r="M225" s="105" t="s">
        <v>503</v>
      </c>
      <c r="N225" s="105" t="s">
        <v>503</v>
      </c>
      <c r="O225" s="98" t="str">
        <f>IFERROR((0/0),"No aplica")</f>
        <v>No aplica</v>
      </c>
      <c r="P225" s="98">
        <f>IFERROR((0/3),"No aplica")</f>
        <v>0</v>
      </c>
      <c r="Q225" s="105" t="s">
        <v>457</v>
      </c>
      <c r="R225" s="102" t="s">
        <v>544</v>
      </c>
      <c r="S225" s="102" t="s">
        <v>552</v>
      </c>
      <c r="T225" s="106" t="s">
        <v>218</v>
      </c>
      <c r="U225" s="105" t="s">
        <v>503</v>
      </c>
      <c r="V225" s="105" t="s">
        <v>503</v>
      </c>
      <c r="W225" s="98" t="str">
        <f>IFERROR((0/0),"No aplica")</f>
        <v>No aplica</v>
      </c>
      <c r="X225" s="98">
        <f>IFERROR((0/3),"No aplica")</f>
        <v>0</v>
      </c>
      <c r="Y225" s="105" t="s">
        <v>457</v>
      </c>
      <c r="Z225" s="102" t="s">
        <v>782</v>
      </c>
      <c r="AA225" s="102" t="s">
        <v>783</v>
      </c>
      <c r="AB225" s="106" t="s">
        <v>218</v>
      </c>
      <c r="AC225" s="105" t="s">
        <v>1171</v>
      </c>
      <c r="AD225" s="105" t="s">
        <v>503</v>
      </c>
      <c r="AE225" s="98">
        <f>IFERROR((0/1),"No aplica")</f>
        <v>0</v>
      </c>
      <c r="AF225" s="98">
        <f>IFERROR((0/3),"No aplica")</f>
        <v>0</v>
      </c>
      <c r="AG225" s="105" t="s">
        <v>474</v>
      </c>
      <c r="AH225" s="102" t="s">
        <v>1148</v>
      </c>
      <c r="AI225" s="102" t="s">
        <v>1149</v>
      </c>
      <c r="AJ225" s="106" t="s">
        <v>218</v>
      </c>
      <c r="AK225" s="105" t="s">
        <v>1377</v>
      </c>
      <c r="AL225" s="105" t="s">
        <v>503</v>
      </c>
      <c r="AM225" s="98">
        <f>IFERROR((0/2),"No aplica")</f>
        <v>0</v>
      </c>
      <c r="AN225" s="98">
        <f>IFERROR((0/3),"No aplica")</f>
        <v>0</v>
      </c>
      <c r="AO225" s="105" t="s">
        <v>474</v>
      </c>
      <c r="AP225" s="102" t="s">
        <v>1378</v>
      </c>
      <c r="AQ225" s="102" t="s">
        <v>1379</v>
      </c>
      <c r="AR225" s="206" t="s">
        <v>1380</v>
      </c>
    </row>
    <row r="226" spans="1:44" ht="31.5" x14ac:dyDescent="0.25">
      <c r="A226" s="156"/>
      <c r="B226" s="106"/>
      <c r="C226" s="105"/>
      <c r="D226" s="105"/>
      <c r="E226" s="105"/>
      <c r="F226" s="105"/>
      <c r="G226" s="43" t="s">
        <v>1036</v>
      </c>
      <c r="H226" s="15">
        <v>43525</v>
      </c>
      <c r="I226" s="15" t="s">
        <v>83</v>
      </c>
      <c r="J226" s="68" t="s">
        <v>588</v>
      </c>
      <c r="K226" s="108"/>
      <c r="L226" s="108"/>
      <c r="M226" s="105"/>
      <c r="N226" s="105"/>
      <c r="O226" s="98"/>
      <c r="P226" s="98"/>
      <c r="Q226" s="105"/>
      <c r="R226" s="102"/>
      <c r="S226" s="102"/>
      <c r="T226" s="106"/>
      <c r="U226" s="105"/>
      <c r="V226" s="105"/>
      <c r="W226" s="98"/>
      <c r="X226" s="98"/>
      <c r="Y226" s="105"/>
      <c r="Z226" s="102"/>
      <c r="AA226" s="102"/>
      <c r="AB226" s="106"/>
      <c r="AC226" s="105"/>
      <c r="AD226" s="105"/>
      <c r="AE226" s="98"/>
      <c r="AF226" s="98"/>
      <c r="AG226" s="105"/>
      <c r="AH226" s="102"/>
      <c r="AI226" s="102"/>
      <c r="AJ226" s="106"/>
      <c r="AK226" s="105"/>
      <c r="AL226" s="105"/>
      <c r="AM226" s="98"/>
      <c r="AN226" s="98"/>
      <c r="AO226" s="105"/>
      <c r="AP226" s="102"/>
      <c r="AQ226" s="102"/>
      <c r="AR226" s="207"/>
    </row>
    <row r="227" spans="1:44" ht="31.5" x14ac:dyDescent="0.25">
      <c r="A227" s="156"/>
      <c r="B227" s="106"/>
      <c r="C227" s="105"/>
      <c r="D227" s="105"/>
      <c r="E227" s="105"/>
      <c r="F227" s="105"/>
      <c r="G227" s="43" t="s">
        <v>1037</v>
      </c>
      <c r="H227" s="15">
        <v>43647</v>
      </c>
      <c r="I227" s="15" t="s">
        <v>84</v>
      </c>
      <c r="J227" s="68" t="s">
        <v>588</v>
      </c>
      <c r="K227" s="108"/>
      <c r="L227" s="108"/>
      <c r="M227" s="105"/>
      <c r="N227" s="105"/>
      <c r="O227" s="98"/>
      <c r="P227" s="98"/>
      <c r="Q227" s="105"/>
      <c r="R227" s="102"/>
      <c r="S227" s="102"/>
      <c r="T227" s="106"/>
      <c r="U227" s="105"/>
      <c r="V227" s="105"/>
      <c r="W227" s="98"/>
      <c r="X227" s="98"/>
      <c r="Y227" s="105"/>
      <c r="Z227" s="102"/>
      <c r="AA227" s="102"/>
      <c r="AB227" s="106"/>
      <c r="AC227" s="105"/>
      <c r="AD227" s="105"/>
      <c r="AE227" s="98"/>
      <c r="AF227" s="98"/>
      <c r="AG227" s="105"/>
      <c r="AH227" s="102"/>
      <c r="AI227" s="102"/>
      <c r="AJ227" s="106"/>
      <c r="AK227" s="105"/>
      <c r="AL227" s="105"/>
      <c r="AM227" s="98"/>
      <c r="AN227" s="98"/>
      <c r="AO227" s="105"/>
      <c r="AP227" s="102"/>
      <c r="AQ227" s="102"/>
      <c r="AR227" s="207"/>
    </row>
    <row r="228" spans="1:44" ht="31.5" x14ac:dyDescent="0.25">
      <c r="A228" s="156"/>
      <c r="B228" s="106"/>
      <c r="C228" s="105"/>
      <c r="D228" s="105"/>
      <c r="E228" s="105"/>
      <c r="F228" s="105" t="s">
        <v>246</v>
      </c>
      <c r="G228" s="43" t="s">
        <v>1038</v>
      </c>
      <c r="H228" s="15">
        <v>43466</v>
      </c>
      <c r="I228" s="15" t="s">
        <v>247</v>
      </c>
      <c r="J228" s="68" t="s">
        <v>588</v>
      </c>
      <c r="K228" s="108"/>
      <c r="L228" s="108"/>
      <c r="M228" s="105"/>
      <c r="N228" s="105"/>
      <c r="O228" s="98"/>
      <c r="P228" s="98"/>
      <c r="Q228" s="105"/>
      <c r="R228" s="102"/>
      <c r="S228" s="102"/>
      <c r="T228" s="106"/>
      <c r="U228" s="105"/>
      <c r="V228" s="105"/>
      <c r="W228" s="98"/>
      <c r="X228" s="98"/>
      <c r="Y228" s="105"/>
      <c r="Z228" s="102"/>
      <c r="AA228" s="102"/>
      <c r="AB228" s="106"/>
      <c r="AC228" s="105"/>
      <c r="AD228" s="105"/>
      <c r="AE228" s="98"/>
      <c r="AF228" s="98"/>
      <c r="AG228" s="105"/>
      <c r="AH228" s="102"/>
      <c r="AI228" s="102"/>
      <c r="AJ228" s="106"/>
      <c r="AK228" s="105"/>
      <c r="AL228" s="105"/>
      <c r="AM228" s="98"/>
      <c r="AN228" s="98"/>
      <c r="AO228" s="105"/>
      <c r="AP228" s="102"/>
      <c r="AQ228" s="102"/>
      <c r="AR228" s="207"/>
    </row>
    <row r="229" spans="1:44" ht="31.5" x14ac:dyDescent="0.25">
      <c r="A229" s="156"/>
      <c r="B229" s="106"/>
      <c r="C229" s="105"/>
      <c r="D229" s="105"/>
      <c r="E229" s="105"/>
      <c r="F229" s="105"/>
      <c r="G229" s="43" t="s">
        <v>1039</v>
      </c>
      <c r="H229" s="15">
        <v>43525</v>
      </c>
      <c r="I229" s="15">
        <v>43555</v>
      </c>
      <c r="J229" s="68" t="s">
        <v>588</v>
      </c>
      <c r="K229" s="108"/>
      <c r="L229" s="108"/>
      <c r="M229" s="105"/>
      <c r="N229" s="105"/>
      <c r="O229" s="98"/>
      <c r="P229" s="98"/>
      <c r="Q229" s="105"/>
      <c r="R229" s="102"/>
      <c r="S229" s="102"/>
      <c r="T229" s="106"/>
      <c r="U229" s="105"/>
      <c r="V229" s="105"/>
      <c r="W229" s="98"/>
      <c r="X229" s="98"/>
      <c r="Y229" s="105"/>
      <c r="Z229" s="102"/>
      <c r="AA229" s="102"/>
      <c r="AB229" s="106"/>
      <c r="AC229" s="105"/>
      <c r="AD229" s="105"/>
      <c r="AE229" s="98"/>
      <c r="AF229" s="98"/>
      <c r="AG229" s="105"/>
      <c r="AH229" s="102"/>
      <c r="AI229" s="102"/>
      <c r="AJ229" s="106"/>
      <c r="AK229" s="105"/>
      <c r="AL229" s="105"/>
      <c r="AM229" s="98"/>
      <c r="AN229" s="98"/>
      <c r="AO229" s="105"/>
      <c r="AP229" s="102"/>
      <c r="AQ229" s="102"/>
      <c r="AR229" s="207"/>
    </row>
    <row r="230" spans="1:44" ht="31.5" x14ac:dyDescent="0.25">
      <c r="A230" s="156"/>
      <c r="B230" s="106"/>
      <c r="C230" s="105"/>
      <c r="D230" s="105"/>
      <c r="E230" s="105"/>
      <c r="F230" s="105"/>
      <c r="G230" s="43" t="s">
        <v>1040</v>
      </c>
      <c r="H230" s="15" t="s">
        <v>248</v>
      </c>
      <c r="I230" s="15">
        <v>43585</v>
      </c>
      <c r="J230" s="68" t="s">
        <v>588</v>
      </c>
      <c r="K230" s="108"/>
      <c r="L230" s="108"/>
      <c r="M230" s="105"/>
      <c r="N230" s="105"/>
      <c r="O230" s="98"/>
      <c r="P230" s="98"/>
      <c r="Q230" s="105"/>
      <c r="R230" s="102"/>
      <c r="S230" s="102"/>
      <c r="T230" s="106"/>
      <c r="U230" s="105"/>
      <c r="V230" s="105"/>
      <c r="W230" s="98"/>
      <c r="X230" s="98"/>
      <c r="Y230" s="105"/>
      <c r="Z230" s="102"/>
      <c r="AA230" s="102"/>
      <c r="AB230" s="106"/>
      <c r="AC230" s="105"/>
      <c r="AD230" s="105"/>
      <c r="AE230" s="98"/>
      <c r="AF230" s="98"/>
      <c r="AG230" s="105"/>
      <c r="AH230" s="102"/>
      <c r="AI230" s="102"/>
      <c r="AJ230" s="106"/>
      <c r="AK230" s="105"/>
      <c r="AL230" s="105"/>
      <c r="AM230" s="98"/>
      <c r="AN230" s="98"/>
      <c r="AO230" s="105"/>
      <c r="AP230" s="102"/>
      <c r="AQ230" s="102"/>
      <c r="AR230" s="208"/>
    </row>
    <row r="231" spans="1:44" ht="71.25" customHeight="1" x14ac:dyDescent="0.25">
      <c r="A231" s="156" t="s">
        <v>98</v>
      </c>
      <c r="B231" s="106" t="s">
        <v>293</v>
      </c>
      <c r="C231" s="105">
        <v>46</v>
      </c>
      <c r="D231" s="105" t="s">
        <v>1046</v>
      </c>
      <c r="E231" s="105">
        <v>0</v>
      </c>
      <c r="F231" s="105" t="s">
        <v>250</v>
      </c>
      <c r="G231" s="43" t="s">
        <v>86</v>
      </c>
      <c r="H231" s="15">
        <v>43466</v>
      </c>
      <c r="I231" s="15">
        <v>43524</v>
      </c>
      <c r="J231" s="68" t="s">
        <v>588</v>
      </c>
      <c r="K231" s="108" t="s">
        <v>323</v>
      </c>
      <c r="L231" s="108" t="s">
        <v>249</v>
      </c>
      <c r="M231" s="105" t="s">
        <v>504</v>
      </c>
      <c r="N231" s="105" t="s">
        <v>504</v>
      </c>
      <c r="O231" s="98" t="str">
        <f>IFERROR((0/0),"No aplica")</f>
        <v>No aplica</v>
      </c>
      <c r="P231" s="98">
        <f>IFERROR((0/12),"No aplica")</f>
        <v>0</v>
      </c>
      <c r="Q231" s="105" t="s">
        <v>457</v>
      </c>
      <c r="R231" s="102" t="s">
        <v>505</v>
      </c>
      <c r="S231" s="102" t="s">
        <v>570</v>
      </c>
      <c r="T231" s="106" t="s">
        <v>249</v>
      </c>
      <c r="U231" s="105" t="s">
        <v>504</v>
      </c>
      <c r="V231" s="105" t="s">
        <v>504</v>
      </c>
      <c r="W231" s="98" t="str">
        <f>IFERROR((0/0),"No aplica")</f>
        <v>No aplica</v>
      </c>
      <c r="X231" s="98">
        <f>IFERROR((0/12),"No aplica")</f>
        <v>0</v>
      </c>
      <c r="Y231" s="105" t="s">
        <v>457</v>
      </c>
      <c r="Z231" s="102" t="s">
        <v>784</v>
      </c>
      <c r="AA231" s="102" t="s">
        <v>785</v>
      </c>
      <c r="AB231" s="106" t="s">
        <v>249</v>
      </c>
      <c r="AC231" s="105" t="s">
        <v>504</v>
      </c>
      <c r="AD231" s="105" t="s">
        <v>504</v>
      </c>
      <c r="AE231" s="98" t="str">
        <f>IFERROR((0/0),"No aplica")</f>
        <v>No aplica</v>
      </c>
      <c r="AF231" s="98">
        <f>IFERROR((0/12),"No aplica")</f>
        <v>0</v>
      </c>
      <c r="AG231" s="105" t="s">
        <v>457</v>
      </c>
      <c r="AH231" s="102" t="s">
        <v>1150</v>
      </c>
      <c r="AI231" s="102" t="s">
        <v>1151</v>
      </c>
      <c r="AJ231" s="106" t="s">
        <v>249</v>
      </c>
      <c r="AK231" s="105" t="s">
        <v>1381</v>
      </c>
      <c r="AL231" s="105" t="s">
        <v>504</v>
      </c>
      <c r="AM231" s="98">
        <f>IFERROR((0/12),"No aplica")</f>
        <v>0</v>
      </c>
      <c r="AN231" s="98">
        <f>IFERROR((0/12),"No aplica")</f>
        <v>0</v>
      </c>
      <c r="AO231" s="105" t="s">
        <v>474</v>
      </c>
      <c r="AP231" s="102" t="s">
        <v>1528</v>
      </c>
      <c r="AQ231" s="102" t="s">
        <v>1442</v>
      </c>
      <c r="AR231" s="206" t="s">
        <v>1382</v>
      </c>
    </row>
    <row r="232" spans="1:44" ht="71.25" customHeight="1" x14ac:dyDescent="0.25">
      <c r="A232" s="156"/>
      <c r="B232" s="106"/>
      <c r="C232" s="105"/>
      <c r="D232" s="105"/>
      <c r="E232" s="105"/>
      <c r="F232" s="105"/>
      <c r="G232" s="43" t="s">
        <v>87</v>
      </c>
      <c r="H232" s="15">
        <v>43466</v>
      </c>
      <c r="I232" s="15">
        <v>43555</v>
      </c>
      <c r="J232" s="68" t="s">
        <v>588</v>
      </c>
      <c r="K232" s="108"/>
      <c r="L232" s="108"/>
      <c r="M232" s="105"/>
      <c r="N232" s="105"/>
      <c r="O232" s="98"/>
      <c r="P232" s="98"/>
      <c r="Q232" s="105"/>
      <c r="R232" s="102"/>
      <c r="S232" s="102"/>
      <c r="T232" s="106"/>
      <c r="U232" s="105"/>
      <c r="V232" s="105"/>
      <c r="W232" s="98"/>
      <c r="X232" s="98"/>
      <c r="Y232" s="105"/>
      <c r="Z232" s="102"/>
      <c r="AA232" s="102"/>
      <c r="AB232" s="106"/>
      <c r="AC232" s="105"/>
      <c r="AD232" s="105"/>
      <c r="AE232" s="98"/>
      <c r="AF232" s="98"/>
      <c r="AG232" s="105"/>
      <c r="AH232" s="102"/>
      <c r="AI232" s="102"/>
      <c r="AJ232" s="106"/>
      <c r="AK232" s="105"/>
      <c r="AL232" s="105"/>
      <c r="AM232" s="98"/>
      <c r="AN232" s="98"/>
      <c r="AO232" s="105"/>
      <c r="AP232" s="102"/>
      <c r="AQ232" s="102"/>
      <c r="AR232" s="207"/>
    </row>
    <row r="233" spans="1:44" ht="71.25" customHeight="1" x14ac:dyDescent="0.25">
      <c r="A233" s="156"/>
      <c r="B233" s="106"/>
      <c r="C233" s="105"/>
      <c r="D233" s="105"/>
      <c r="E233" s="105"/>
      <c r="F233" s="105"/>
      <c r="G233" s="43" t="s">
        <v>219</v>
      </c>
      <c r="H233" s="18">
        <v>43556</v>
      </c>
      <c r="I233" s="15">
        <v>43646</v>
      </c>
      <c r="J233" s="68" t="s">
        <v>588</v>
      </c>
      <c r="K233" s="108"/>
      <c r="L233" s="108"/>
      <c r="M233" s="105"/>
      <c r="N233" s="105"/>
      <c r="O233" s="98"/>
      <c r="P233" s="98"/>
      <c r="Q233" s="105"/>
      <c r="R233" s="102"/>
      <c r="S233" s="102"/>
      <c r="T233" s="106"/>
      <c r="U233" s="105"/>
      <c r="V233" s="105"/>
      <c r="W233" s="98"/>
      <c r="X233" s="98"/>
      <c r="Y233" s="105"/>
      <c r="Z233" s="102"/>
      <c r="AA233" s="102"/>
      <c r="AB233" s="106"/>
      <c r="AC233" s="105"/>
      <c r="AD233" s="105"/>
      <c r="AE233" s="98"/>
      <c r="AF233" s="98"/>
      <c r="AG233" s="105"/>
      <c r="AH233" s="102"/>
      <c r="AI233" s="102"/>
      <c r="AJ233" s="106"/>
      <c r="AK233" s="105"/>
      <c r="AL233" s="105"/>
      <c r="AM233" s="98"/>
      <c r="AN233" s="98"/>
      <c r="AO233" s="105"/>
      <c r="AP233" s="102"/>
      <c r="AQ233" s="102"/>
      <c r="AR233" s="207"/>
    </row>
    <row r="234" spans="1:44" ht="71.25" customHeight="1" x14ac:dyDescent="0.25">
      <c r="A234" s="156"/>
      <c r="B234" s="106"/>
      <c r="C234" s="105"/>
      <c r="D234" s="105"/>
      <c r="E234" s="105"/>
      <c r="F234" s="105"/>
      <c r="G234" s="43" t="s">
        <v>220</v>
      </c>
      <c r="H234" s="18">
        <v>43647</v>
      </c>
      <c r="I234" s="15">
        <v>43830</v>
      </c>
      <c r="J234" s="68" t="s">
        <v>588</v>
      </c>
      <c r="K234" s="108"/>
      <c r="L234" s="108"/>
      <c r="M234" s="105"/>
      <c r="N234" s="105"/>
      <c r="O234" s="98"/>
      <c r="P234" s="98"/>
      <c r="Q234" s="105"/>
      <c r="R234" s="102"/>
      <c r="S234" s="102"/>
      <c r="T234" s="106"/>
      <c r="U234" s="105"/>
      <c r="V234" s="105"/>
      <c r="W234" s="98"/>
      <c r="X234" s="98"/>
      <c r="Y234" s="105"/>
      <c r="Z234" s="102"/>
      <c r="AA234" s="102"/>
      <c r="AB234" s="106"/>
      <c r="AC234" s="105"/>
      <c r="AD234" s="105"/>
      <c r="AE234" s="98"/>
      <c r="AF234" s="98"/>
      <c r="AG234" s="105"/>
      <c r="AH234" s="102"/>
      <c r="AI234" s="102"/>
      <c r="AJ234" s="106"/>
      <c r="AK234" s="105"/>
      <c r="AL234" s="105"/>
      <c r="AM234" s="98"/>
      <c r="AN234" s="98"/>
      <c r="AO234" s="105"/>
      <c r="AP234" s="102"/>
      <c r="AQ234" s="102"/>
      <c r="AR234" s="207"/>
    </row>
    <row r="235" spans="1:44" ht="71.25" customHeight="1" x14ac:dyDescent="0.25">
      <c r="A235" s="156"/>
      <c r="B235" s="106"/>
      <c r="C235" s="105"/>
      <c r="D235" s="105"/>
      <c r="E235" s="105"/>
      <c r="F235" s="105"/>
      <c r="G235" s="43" t="s">
        <v>1041</v>
      </c>
      <c r="H235" s="18">
        <v>43709</v>
      </c>
      <c r="I235" s="15" t="s">
        <v>84</v>
      </c>
      <c r="J235" s="68" t="s">
        <v>588</v>
      </c>
      <c r="K235" s="108"/>
      <c r="L235" s="108"/>
      <c r="M235" s="105"/>
      <c r="N235" s="105"/>
      <c r="O235" s="98"/>
      <c r="P235" s="98"/>
      <c r="Q235" s="105"/>
      <c r="R235" s="102"/>
      <c r="S235" s="102"/>
      <c r="T235" s="106"/>
      <c r="U235" s="105"/>
      <c r="V235" s="105"/>
      <c r="W235" s="98"/>
      <c r="X235" s="98"/>
      <c r="Y235" s="105"/>
      <c r="Z235" s="102"/>
      <c r="AA235" s="102"/>
      <c r="AB235" s="106"/>
      <c r="AC235" s="105"/>
      <c r="AD235" s="105"/>
      <c r="AE235" s="98"/>
      <c r="AF235" s="98"/>
      <c r="AG235" s="105"/>
      <c r="AH235" s="102"/>
      <c r="AI235" s="102"/>
      <c r="AJ235" s="106"/>
      <c r="AK235" s="105"/>
      <c r="AL235" s="105"/>
      <c r="AM235" s="98"/>
      <c r="AN235" s="98"/>
      <c r="AO235" s="105"/>
      <c r="AP235" s="102"/>
      <c r="AQ235" s="102"/>
      <c r="AR235" s="208"/>
    </row>
    <row r="236" spans="1:44" ht="57.75" customHeight="1" x14ac:dyDescent="0.25">
      <c r="A236" s="156" t="s">
        <v>98</v>
      </c>
      <c r="B236" s="106" t="s">
        <v>294</v>
      </c>
      <c r="C236" s="105">
        <v>47</v>
      </c>
      <c r="D236" s="105" t="s">
        <v>1044</v>
      </c>
      <c r="E236" s="105">
        <v>0</v>
      </c>
      <c r="F236" s="105" t="s">
        <v>209</v>
      </c>
      <c r="G236" s="43" t="s">
        <v>1042</v>
      </c>
      <c r="H236" s="15">
        <v>43466</v>
      </c>
      <c r="I236" s="15">
        <v>43555</v>
      </c>
      <c r="J236" s="68" t="s">
        <v>588</v>
      </c>
      <c r="K236" s="108" t="s">
        <v>323</v>
      </c>
      <c r="L236" s="108" t="s">
        <v>221</v>
      </c>
      <c r="M236" s="105" t="s">
        <v>507</v>
      </c>
      <c r="N236" s="105" t="s">
        <v>507</v>
      </c>
      <c r="O236" s="98" t="str">
        <f>IFERROR((0/0),"No aplica")</f>
        <v>No aplica</v>
      </c>
      <c r="P236" s="98">
        <f>IFERROR((0/3),"No aplica")</f>
        <v>0</v>
      </c>
      <c r="Q236" s="105" t="s">
        <v>457</v>
      </c>
      <c r="R236" s="102" t="s">
        <v>506</v>
      </c>
      <c r="S236" s="102" t="s">
        <v>553</v>
      </c>
      <c r="T236" s="106" t="s">
        <v>221</v>
      </c>
      <c r="U236" s="105" t="s">
        <v>507</v>
      </c>
      <c r="V236" s="105" t="s">
        <v>507</v>
      </c>
      <c r="W236" s="98" t="str">
        <f>IFERROR((0/0),"No aplica")</f>
        <v>No aplica</v>
      </c>
      <c r="X236" s="98">
        <f>IFERROR((0/3),"No aplica")</f>
        <v>0</v>
      </c>
      <c r="Y236" s="105" t="s">
        <v>457</v>
      </c>
      <c r="Z236" s="102" t="s">
        <v>786</v>
      </c>
      <c r="AA236" s="102" t="s">
        <v>787</v>
      </c>
      <c r="AB236" s="106" t="s">
        <v>221</v>
      </c>
      <c r="AC236" s="105" t="s">
        <v>1172</v>
      </c>
      <c r="AD236" s="105" t="s">
        <v>507</v>
      </c>
      <c r="AE236" s="98">
        <f>IFERROR((0/1),"No aplica")</f>
        <v>0</v>
      </c>
      <c r="AF236" s="98">
        <f>IFERROR((0/3),"No aplica")</f>
        <v>0</v>
      </c>
      <c r="AG236" s="105" t="s">
        <v>474</v>
      </c>
      <c r="AH236" s="102" t="s">
        <v>1152</v>
      </c>
      <c r="AI236" s="102" t="s">
        <v>1153</v>
      </c>
      <c r="AJ236" s="106" t="s">
        <v>221</v>
      </c>
      <c r="AK236" s="105" t="s">
        <v>1383</v>
      </c>
      <c r="AL236" s="105" t="s">
        <v>507</v>
      </c>
      <c r="AM236" s="98">
        <f>IFERROR((0/2),"No aplica")</f>
        <v>0</v>
      </c>
      <c r="AN236" s="98">
        <f>IFERROR((0/3),"No aplica")</f>
        <v>0</v>
      </c>
      <c r="AO236" s="105" t="s">
        <v>474</v>
      </c>
      <c r="AP236" s="102" t="s">
        <v>1530</v>
      </c>
      <c r="AQ236" s="102" t="s">
        <v>1384</v>
      </c>
      <c r="AR236" s="206" t="s">
        <v>1529</v>
      </c>
    </row>
    <row r="237" spans="1:44" ht="57.75" customHeight="1" x14ac:dyDescent="0.25">
      <c r="A237" s="156"/>
      <c r="B237" s="106"/>
      <c r="C237" s="105"/>
      <c r="D237" s="105"/>
      <c r="E237" s="105"/>
      <c r="F237" s="105"/>
      <c r="G237" s="43" t="s">
        <v>1036</v>
      </c>
      <c r="H237" s="15">
        <v>43525</v>
      </c>
      <c r="I237" s="15">
        <v>43646</v>
      </c>
      <c r="J237" s="68" t="s">
        <v>588</v>
      </c>
      <c r="K237" s="108"/>
      <c r="L237" s="108"/>
      <c r="M237" s="105"/>
      <c r="N237" s="105"/>
      <c r="O237" s="98"/>
      <c r="P237" s="98"/>
      <c r="Q237" s="105"/>
      <c r="R237" s="102"/>
      <c r="S237" s="102"/>
      <c r="T237" s="106"/>
      <c r="U237" s="105"/>
      <c r="V237" s="105"/>
      <c r="W237" s="98"/>
      <c r="X237" s="98"/>
      <c r="Y237" s="105"/>
      <c r="Z237" s="102"/>
      <c r="AA237" s="102"/>
      <c r="AB237" s="106"/>
      <c r="AC237" s="105"/>
      <c r="AD237" s="105"/>
      <c r="AE237" s="98"/>
      <c r="AF237" s="98"/>
      <c r="AG237" s="105"/>
      <c r="AH237" s="102"/>
      <c r="AI237" s="102"/>
      <c r="AJ237" s="106"/>
      <c r="AK237" s="105"/>
      <c r="AL237" s="105"/>
      <c r="AM237" s="98"/>
      <c r="AN237" s="98"/>
      <c r="AO237" s="105"/>
      <c r="AP237" s="102"/>
      <c r="AQ237" s="102"/>
      <c r="AR237" s="207"/>
    </row>
    <row r="238" spans="1:44" ht="57.75" customHeight="1" x14ac:dyDescent="0.25">
      <c r="A238" s="156"/>
      <c r="B238" s="106"/>
      <c r="C238" s="105"/>
      <c r="D238" s="105"/>
      <c r="E238" s="105"/>
      <c r="F238" s="105"/>
      <c r="G238" s="43" t="s">
        <v>1043</v>
      </c>
      <c r="H238" s="15">
        <v>43647</v>
      </c>
      <c r="I238" s="15">
        <v>43830</v>
      </c>
      <c r="J238" s="68" t="s">
        <v>588</v>
      </c>
      <c r="K238" s="108"/>
      <c r="L238" s="108"/>
      <c r="M238" s="105"/>
      <c r="N238" s="105"/>
      <c r="O238" s="98"/>
      <c r="P238" s="98"/>
      <c r="Q238" s="105"/>
      <c r="R238" s="102"/>
      <c r="S238" s="102"/>
      <c r="T238" s="106"/>
      <c r="U238" s="105"/>
      <c r="V238" s="105"/>
      <c r="W238" s="98"/>
      <c r="X238" s="98"/>
      <c r="Y238" s="105"/>
      <c r="Z238" s="102"/>
      <c r="AA238" s="102"/>
      <c r="AB238" s="106"/>
      <c r="AC238" s="105"/>
      <c r="AD238" s="105"/>
      <c r="AE238" s="98"/>
      <c r="AF238" s="98"/>
      <c r="AG238" s="105"/>
      <c r="AH238" s="102"/>
      <c r="AI238" s="102"/>
      <c r="AJ238" s="106"/>
      <c r="AK238" s="105"/>
      <c r="AL238" s="105"/>
      <c r="AM238" s="98"/>
      <c r="AN238" s="98"/>
      <c r="AO238" s="105"/>
      <c r="AP238" s="102"/>
      <c r="AQ238" s="102"/>
      <c r="AR238" s="207"/>
    </row>
    <row r="239" spans="1:44" ht="57.75" customHeight="1" x14ac:dyDescent="0.25">
      <c r="A239" s="156"/>
      <c r="B239" s="106"/>
      <c r="C239" s="105"/>
      <c r="D239" s="105"/>
      <c r="E239" s="105"/>
      <c r="F239" s="105" t="s">
        <v>251</v>
      </c>
      <c r="G239" s="43" t="s">
        <v>85</v>
      </c>
      <c r="H239" s="15">
        <v>43466</v>
      </c>
      <c r="I239" s="15">
        <v>43555</v>
      </c>
      <c r="J239" s="68" t="s">
        <v>588</v>
      </c>
      <c r="K239" s="108"/>
      <c r="L239" s="108"/>
      <c r="M239" s="105"/>
      <c r="N239" s="105"/>
      <c r="O239" s="98"/>
      <c r="P239" s="98"/>
      <c r="Q239" s="105"/>
      <c r="R239" s="102"/>
      <c r="S239" s="102"/>
      <c r="T239" s="106"/>
      <c r="U239" s="105"/>
      <c r="V239" s="105"/>
      <c r="W239" s="98"/>
      <c r="X239" s="98"/>
      <c r="Y239" s="105"/>
      <c r="Z239" s="102"/>
      <c r="AA239" s="102"/>
      <c r="AB239" s="106"/>
      <c r="AC239" s="105"/>
      <c r="AD239" s="105"/>
      <c r="AE239" s="98"/>
      <c r="AF239" s="98"/>
      <c r="AG239" s="105"/>
      <c r="AH239" s="102"/>
      <c r="AI239" s="102"/>
      <c r="AJ239" s="106"/>
      <c r="AK239" s="105"/>
      <c r="AL239" s="105"/>
      <c r="AM239" s="98"/>
      <c r="AN239" s="98"/>
      <c r="AO239" s="105"/>
      <c r="AP239" s="102"/>
      <c r="AQ239" s="102"/>
      <c r="AR239" s="207"/>
    </row>
    <row r="240" spans="1:44" s="11" customFormat="1" ht="57.75" customHeight="1" x14ac:dyDescent="0.25">
      <c r="A240" s="156"/>
      <c r="B240" s="106"/>
      <c r="C240" s="105"/>
      <c r="D240" s="105"/>
      <c r="E240" s="105"/>
      <c r="F240" s="105"/>
      <c r="G240" s="43" t="s">
        <v>419</v>
      </c>
      <c r="H240" s="15">
        <v>43466</v>
      </c>
      <c r="I240" s="15">
        <v>43555</v>
      </c>
      <c r="J240" s="68" t="s">
        <v>588</v>
      </c>
      <c r="K240" s="108"/>
      <c r="L240" s="108"/>
      <c r="M240" s="105"/>
      <c r="N240" s="105"/>
      <c r="O240" s="98"/>
      <c r="P240" s="98"/>
      <c r="Q240" s="105"/>
      <c r="R240" s="102"/>
      <c r="S240" s="102"/>
      <c r="T240" s="106"/>
      <c r="U240" s="105"/>
      <c r="V240" s="105"/>
      <c r="W240" s="98"/>
      <c r="X240" s="98"/>
      <c r="Y240" s="105"/>
      <c r="Z240" s="102"/>
      <c r="AA240" s="102"/>
      <c r="AB240" s="106"/>
      <c r="AC240" s="105"/>
      <c r="AD240" s="105"/>
      <c r="AE240" s="98"/>
      <c r="AF240" s="98"/>
      <c r="AG240" s="105"/>
      <c r="AH240" s="102"/>
      <c r="AI240" s="102"/>
      <c r="AJ240" s="106"/>
      <c r="AK240" s="105"/>
      <c r="AL240" s="105"/>
      <c r="AM240" s="98"/>
      <c r="AN240" s="98"/>
      <c r="AO240" s="105"/>
      <c r="AP240" s="102"/>
      <c r="AQ240" s="102"/>
      <c r="AR240" s="207"/>
    </row>
    <row r="241" spans="1:44" s="11" customFormat="1" ht="57.75" customHeight="1" x14ac:dyDescent="0.25">
      <c r="A241" s="156"/>
      <c r="B241" s="106"/>
      <c r="C241" s="105"/>
      <c r="D241" s="105"/>
      <c r="E241" s="105"/>
      <c r="F241" s="105"/>
      <c r="G241" s="43" t="s">
        <v>252</v>
      </c>
      <c r="H241" s="15">
        <v>43556</v>
      </c>
      <c r="I241" s="15">
        <v>43585</v>
      </c>
      <c r="J241" s="68" t="s">
        <v>588</v>
      </c>
      <c r="K241" s="108"/>
      <c r="L241" s="108"/>
      <c r="M241" s="105"/>
      <c r="N241" s="105"/>
      <c r="O241" s="98"/>
      <c r="P241" s="98"/>
      <c r="Q241" s="105"/>
      <c r="R241" s="102"/>
      <c r="S241" s="102"/>
      <c r="T241" s="106"/>
      <c r="U241" s="105"/>
      <c r="V241" s="105"/>
      <c r="W241" s="98"/>
      <c r="X241" s="98"/>
      <c r="Y241" s="105"/>
      <c r="Z241" s="102"/>
      <c r="AA241" s="102"/>
      <c r="AB241" s="106"/>
      <c r="AC241" s="105"/>
      <c r="AD241" s="105"/>
      <c r="AE241" s="98"/>
      <c r="AF241" s="98"/>
      <c r="AG241" s="105"/>
      <c r="AH241" s="102"/>
      <c r="AI241" s="102"/>
      <c r="AJ241" s="106"/>
      <c r="AK241" s="105"/>
      <c r="AL241" s="105"/>
      <c r="AM241" s="98"/>
      <c r="AN241" s="98"/>
      <c r="AO241" s="105"/>
      <c r="AP241" s="102"/>
      <c r="AQ241" s="102"/>
      <c r="AR241" s="208"/>
    </row>
    <row r="242" spans="1:44" s="11" customFormat="1" ht="50.25" customHeight="1" x14ac:dyDescent="0.25">
      <c r="A242" s="161" t="s">
        <v>98</v>
      </c>
      <c r="B242" s="162" t="s">
        <v>294</v>
      </c>
      <c r="C242" s="163">
        <v>48</v>
      </c>
      <c r="D242" s="163" t="s">
        <v>1045</v>
      </c>
      <c r="E242" s="163">
        <v>0</v>
      </c>
      <c r="F242" s="163" t="s">
        <v>253</v>
      </c>
      <c r="G242" s="54" t="s">
        <v>210</v>
      </c>
      <c r="H242" s="55">
        <v>43466</v>
      </c>
      <c r="I242" s="55">
        <v>43524</v>
      </c>
      <c r="J242" s="95" t="s">
        <v>588</v>
      </c>
      <c r="K242" s="164" t="s">
        <v>323</v>
      </c>
      <c r="L242" s="108" t="s">
        <v>7</v>
      </c>
      <c r="M242" s="105" t="s">
        <v>508</v>
      </c>
      <c r="N242" s="105" t="s">
        <v>508</v>
      </c>
      <c r="O242" s="98" t="str">
        <f>IFERROR((0/0),"No aplica")</f>
        <v>No aplica</v>
      </c>
      <c r="P242" s="98">
        <f>IFERROR((0/4),"No aplica")</f>
        <v>0</v>
      </c>
      <c r="Q242" s="105" t="s">
        <v>457</v>
      </c>
      <c r="R242" s="102" t="s">
        <v>509</v>
      </c>
      <c r="S242" s="102" t="s">
        <v>571</v>
      </c>
      <c r="T242" s="106" t="s">
        <v>7</v>
      </c>
      <c r="U242" s="105" t="s">
        <v>508</v>
      </c>
      <c r="V242" s="105" t="s">
        <v>508</v>
      </c>
      <c r="W242" s="98" t="str">
        <f>IFERROR((0/0),"No aplica")</f>
        <v>No aplica</v>
      </c>
      <c r="X242" s="98">
        <f>IFERROR((0/4),"No aplica")</f>
        <v>0</v>
      </c>
      <c r="Y242" s="105" t="s">
        <v>457</v>
      </c>
      <c r="Z242" s="102" t="s">
        <v>788</v>
      </c>
      <c r="AA242" s="102" t="s">
        <v>789</v>
      </c>
      <c r="AB242" s="106" t="s">
        <v>7</v>
      </c>
      <c r="AC242" s="105" t="s">
        <v>508</v>
      </c>
      <c r="AD242" s="105" t="s">
        <v>508</v>
      </c>
      <c r="AE242" s="98" t="str">
        <f>IFERROR((0/0),"No aplica")</f>
        <v>No aplica</v>
      </c>
      <c r="AF242" s="98">
        <f>IFERROR((0/4),"No aplica")</f>
        <v>0</v>
      </c>
      <c r="AG242" s="105" t="s">
        <v>457</v>
      </c>
      <c r="AH242" s="102" t="s">
        <v>1154</v>
      </c>
      <c r="AI242" s="102" t="s">
        <v>1155</v>
      </c>
      <c r="AJ242" s="106" t="s">
        <v>7</v>
      </c>
      <c r="AK242" s="105" t="s">
        <v>1385</v>
      </c>
      <c r="AL242" s="105" t="s">
        <v>508</v>
      </c>
      <c r="AM242" s="98">
        <f>IFERROR((0/4),"No aplica")</f>
        <v>0</v>
      </c>
      <c r="AN242" s="98">
        <f>IFERROR((0/4),"No aplica")</f>
        <v>0</v>
      </c>
      <c r="AO242" s="105" t="s">
        <v>474</v>
      </c>
      <c r="AP242" s="102" t="s">
        <v>1531</v>
      </c>
      <c r="AQ242" s="102" t="s">
        <v>1384</v>
      </c>
      <c r="AR242" s="206" t="s">
        <v>1386</v>
      </c>
    </row>
    <row r="243" spans="1:44" s="11" customFormat="1" ht="50.25" customHeight="1" x14ac:dyDescent="0.25">
      <c r="A243" s="161"/>
      <c r="B243" s="162"/>
      <c r="C243" s="163"/>
      <c r="D243" s="163"/>
      <c r="E243" s="163"/>
      <c r="F243" s="163"/>
      <c r="G243" s="54" t="s">
        <v>88</v>
      </c>
      <c r="H243" s="55">
        <v>43466</v>
      </c>
      <c r="I243" s="55">
        <v>43555</v>
      </c>
      <c r="J243" s="95" t="s">
        <v>588</v>
      </c>
      <c r="K243" s="164"/>
      <c r="L243" s="108"/>
      <c r="M243" s="105"/>
      <c r="N243" s="105"/>
      <c r="O243" s="98"/>
      <c r="P243" s="98"/>
      <c r="Q243" s="105"/>
      <c r="R243" s="102"/>
      <c r="S243" s="102"/>
      <c r="T243" s="106"/>
      <c r="U243" s="105"/>
      <c r="V243" s="105"/>
      <c r="W243" s="98"/>
      <c r="X243" s="98"/>
      <c r="Y243" s="105"/>
      <c r="Z243" s="102"/>
      <c r="AA243" s="102"/>
      <c r="AB243" s="106"/>
      <c r="AC243" s="105"/>
      <c r="AD243" s="105"/>
      <c r="AE243" s="98"/>
      <c r="AF243" s="98"/>
      <c r="AG243" s="105"/>
      <c r="AH243" s="102"/>
      <c r="AI243" s="102"/>
      <c r="AJ243" s="106"/>
      <c r="AK243" s="105"/>
      <c r="AL243" s="105"/>
      <c r="AM243" s="98"/>
      <c r="AN243" s="98"/>
      <c r="AO243" s="105"/>
      <c r="AP243" s="102"/>
      <c r="AQ243" s="102"/>
      <c r="AR243" s="207"/>
    </row>
    <row r="244" spans="1:44" ht="50.25" customHeight="1" x14ac:dyDescent="0.25">
      <c r="A244" s="161"/>
      <c r="B244" s="162"/>
      <c r="C244" s="163"/>
      <c r="D244" s="163"/>
      <c r="E244" s="163"/>
      <c r="F244" s="163"/>
      <c r="G244" s="54" t="s">
        <v>211</v>
      </c>
      <c r="H244" s="57">
        <v>43556</v>
      </c>
      <c r="I244" s="55" t="s">
        <v>148</v>
      </c>
      <c r="J244" s="95" t="s">
        <v>588</v>
      </c>
      <c r="K244" s="164"/>
      <c r="L244" s="108"/>
      <c r="M244" s="105"/>
      <c r="N244" s="105"/>
      <c r="O244" s="98"/>
      <c r="P244" s="98"/>
      <c r="Q244" s="105"/>
      <c r="R244" s="102"/>
      <c r="S244" s="102"/>
      <c r="T244" s="106"/>
      <c r="U244" s="105"/>
      <c r="V244" s="105"/>
      <c r="W244" s="98"/>
      <c r="X244" s="98"/>
      <c r="Y244" s="105"/>
      <c r="Z244" s="102"/>
      <c r="AA244" s="102"/>
      <c r="AB244" s="106"/>
      <c r="AC244" s="105"/>
      <c r="AD244" s="105"/>
      <c r="AE244" s="98"/>
      <c r="AF244" s="98"/>
      <c r="AG244" s="105"/>
      <c r="AH244" s="102"/>
      <c r="AI244" s="102"/>
      <c r="AJ244" s="106"/>
      <c r="AK244" s="105"/>
      <c r="AL244" s="105"/>
      <c r="AM244" s="98"/>
      <c r="AN244" s="98"/>
      <c r="AO244" s="105"/>
      <c r="AP244" s="102"/>
      <c r="AQ244" s="102"/>
      <c r="AR244" s="207"/>
    </row>
    <row r="245" spans="1:44" ht="50.25" customHeight="1" x14ac:dyDescent="0.25">
      <c r="A245" s="161"/>
      <c r="B245" s="162"/>
      <c r="C245" s="163"/>
      <c r="D245" s="163"/>
      <c r="E245" s="163"/>
      <c r="F245" s="163"/>
      <c r="G245" s="54" t="s">
        <v>212</v>
      </c>
      <c r="H245" s="57">
        <v>43647</v>
      </c>
      <c r="I245" s="55">
        <v>43830</v>
      </c>
      <c r="J245" s="95" t="s">
        <v>588</v>
      </c>
      <c r="K245" s="164"/>
      <c r="L245" s="108"/>
      <c r="M245" s="105"/>
      <c r="N245" s="105"/>
      <c r="O245" s="98"/>
      <c r="P245" s="98"/>
      <c r="Q245" s="105"/>
      <c r="R245" s="102"/>
      <c r="S245" s="102"/>
      <c r="T245" s="106"/>
      <c r="U245" s="105"/>
      <c r="V245" s="105"/>
      <c r="W245" s="98"/>
      <c r="X245" s="98"/>
      <c r="Y245" s="105"/>
      <c r="Z245" s="102"/>
      <c r="AA245" s="102"/>
      <c r="AB245" s="106"/>
      <c r="AC245" s="105"/>
      <c r="AD245" s="105"/>
      <c r="AE245" s="98"/>
      <c r="AF245" s="98"/>
      <c r="AG245" s="105"/>
      <c r="AH245" s="102"/>
      <c r="AI245" s="102"/>
      <c r="AJ245" s="106"/>
      <c r="AK245" s="105"/>
      <c r="AL245" s="105"/>
      <c r="AM245" s="98"/>
      <c r="AN245" s="98"/>
      <c r="AO245" s="105"/>
      <c r="AP245" s="102"/>
      <c r="AQ245" s="102"/>
      <c r="AR245" s="207"/>
    </row>
    <row r="246" spans="1:44" ht="50.25" customHeight="1" x14ac:dyDescent="0.25">
      <c r="A246" s="161"/>
      <c r="B246" s="162"/>
      <c r="C246" s="163"/>
      <c r="D246" s="163"/>
      <c r="E246" s="163"/>
      <c r="F246" s="163"/>
      <c r="G246" s="54" t="s">
        <v>418</v>
      </c>
      <c r="H246" s="57">
        <v>43709</v>
      </c>
      <c r="I246" s="55">
        <v>43830</v>
      </c>
      <c r="J246" s="95" t="s">
        <v>588</v>
      </c>
      <c r="K246" s="164"/>
      <c r="L246" s="108"/>
      <c r="M246" s="105"/>
      <c r="N246" s="105"/>
      <c r="O246" s="98"/>
      <c r="P246" s="98"/>
      <c r="Q246" s="105"/>
      <c r="R246" s="102"/>
      <c r="S246" s="102"/>
      <c r="T246" s="106"/>
      <c r="U246" s="105"/>
      <c r="V246" s="105"/>
      <c r="W246" s="98"/>
      <c r="X246" s="98"/>
      <c r="Y246" s="105"/>
      <c r="Z246" s="102"/>
      <c r="AA246" s="102"/>
      <c r="AB246" s="106"/>
      <c r="AC246" s="105"/>
      <c r="AD246" s="105"/>
      <c r="AE246" s="98"/>
      <c r="AF246" s="98"/>
      <c r="AG246" s="105"/>
      <c r="AH246" s="102"/>
      <c r="AI246" s="102"/>
      <c r="AJ246" s="106"/>
      <c r="AK246" s="105"/>
      <c r="AL246" s="105"/>
      <c r="AM246" s="98"/>
      <c r="AN246" s="98"/>
      <c r="AO246" s="105"/>
      <c r="AP246" s="102"/>
      <c r="AQ246" s="102"/>
      <c r="AR246" s="207"/>
    </row>
    <row r="247" spans="1:44" ht="50.25" customHeight="1" x14ac:dyDescent="0.25">
      <c r="A247" s="161"/>
      <c r="B247" s="162"/>
      <c r="C247" s="163"/>
      <c r="D247" s="163"/>
      <c r="E247" s="163"/>
      <c r="F247" s="163"/>
      <c r="G247" s="54" t="s">
        <v>89</v>
      </c>
      <c r="H247" s="57">
        <v>43709</v>
      </c>
      <c r="I247" s="55">
        <v>43830</v>
      </c>
      <c r="J247" s="95" t="s">
        <v>588</v>
      </c>
      <c r="K247" s="164"/>
      <c r="L247" s="108"/>
      <c r="M247" s="105"/>
      <c r="N247" s="105"/>
      <c r="O247" s="98"/>
      <c r="P247" s="98"/>
      <c r="Q247" s="105"/>
      <c r="R247" s="102"/>
      <c r="S247" s="102"/>
      <c r="T247" s="106"/>
      <c r="U247" s="105"/>
      <c r="V247" s="105"/>
      <c r="W247" s="98"/>
      <c r="X247" s="98"/>
      <c r="Y247" s="105"/>
      <c r="Z247" s="102"/>
      <c r="AA247" s="102"/>
      <c r="AB247" s="106"/>
      <c r="AC247" s="105"/>
      <c r="AD247" s="105"/>
      <c r="AE247" s="98"/>
      <c r="AF247" s="98"/>
      <c r="AG247" s="105"/>
      <c r="AH247" s="102"/>
      <c r="AI247" s="102"/>
      <c r="AJ247" s="106"/>
      <c r="AK247" s="105"/>
      <c r="AL247" s="105"/>
      <c r="AM247" s="98"/>
      <c r="AN247" s="98"/>
      <c r="AO247" s="105"/>
      <c r="AP247" s="102"/>
      <c r="AQ247" s="102"/>
      <c r="AR247" s="207"/>
    </row>
    <row r="248" spans="1:44" ht="50.25" customHeight="1" x14ac:dyDescent="0.25">
      <c r="A248" s="161"/>
      <c r="B248" s="162"/>
      <c r="C248" s="163"/>
      <c r="D248" s="163"/>
      <c r="E248" s="163"/>
      <c r="F248" s="163"/>
      <c r="G248" s="54" t="s">
        <v>90</v>
      </c>
      <c r="H248" s="57">
        <v>43739</v>
      </c>
      <c r="I248" s="55">
        <v>43830</v>
      </c>
      <c r="J248" s="95" t="s">
        <v>588</v>
      </c>
      <c r="K248" s="164"/>
      <c r="L248" s="108"/>
      <c r="M248" s="105"/>
      <c r="N248" s="105"/>
      <c r="O248" s="98"/>
      <c r="P248" s="98"/>
      <c r="Q248" s="105"/>
      <c r="R248" s="102"/>
      <c r="S248" s="102"/>
      <c r="T248" s="106"/>
      <c r="U248" s="105"/>
      <c r="V248" s="105"/>
      <c r="W248" s="98"/>
      <c r="X248" s="98"/>
      <c r="Y248" s="105"/>
      <c r="Z248" s="102"/>
      <c r="AA248" s="102"/>
      <c r="AB248" s="106"/>
      <c r="AC248" s="105"/>
      <c r="AD248" s="105"/>
      <c r="AE248" s="98"/>
      <c r="AF248" s="98"/>
      <c r="AG248" s="105"/>
      <c r="AH248" s="102"/>
      <c r="AI248" s="102"/>
      <c r="AJ248" s="106"/>
      <c r="AK248" s="105"/>
      <c r="AL248" s="105"/>
      <c r="AM248" s="98"/>
      <c r="AN248" s="98"/>
      <c r="AO248" s="105"/>
      <c r="AP248" s="102"/>
      <c r="AQ248" s="102"/>
      <c r="AR248" s="208"/>
    </row>
    <row r="249" spans="1:44" ht="31.5" x14ac:dyDescent="0.25">
      <c r="A249" s="161" t="s">
        <v>96</v>
      </c>
      <c r="B249" s="162" t="s">
        <v>295</v>
      </c>
      <c r="C249" s="163">
        <v>49</v>
      </c>
      <c r="D249" s="163" t="s">
        <v>9</v>
      </c>
      <c r="E249" s="163">
        <v>0</v>
      </c>
      <c r="F249" s="163" t="s">
        <v>213</v>
      </c>
      <c r="G249" s="54" t="s">
        <v>10</v>
      </c>
      <c r="H249" s="55">
        <v>43466</v>
      </c>
      <c r="I249" s="55">
        <v>43496</v>
      </c>
      <c r="J249" s="95" t="s">
        <v>588</v>
      </c>
      <c r="K249" s="164" t="s">
        <v>324</v>
      </c>
      <c r="L249" s="108" t="s">
        <v>8</v>
      </c>
      <c r="M249" s="105" t="s">
        <v>510</v>
      </c>
      <c r="N249" s="105" t="s">
        <v>510</v>
      </c>
      <c r="O249" s="98" t="str">
        <f>IFERROR((0%/0%),"No aplica")</f>
        <v>No aplica</v>
      </c>
      <c r="P249" s="98">
        <f>IFERROR((0%/100%),"No aplica")</f>
        <v>0</v>
      </c>
      <c r="Q249" s="105" t="s">
        <v>457</v>
      </c>
      <c r="R249" s="102" t="s">
        <v>573</v>
      </c>
      <c r="S249" s="102" t="s">
        <v>572</v>
      </c>
      <c r="T249" s="106" t="s">
        <v>8</v>
      </c>
      <c r="U249" s="105" t="s">
        <v>510</v>
      </c>
      <c r="V249" s="105" t="s">
        <v>510</v>
      </c>
      <c r="W249" s="98" t="str">
        <f>IFERROR((0%/0%),"No aplica")</f>
        <v>No aplica</v>
      </c>
      <c r="X249" s="98">
        <f>IFERROR((0%/100%),"No aplica")</f>
        <v>0</v>
      </c>
      <c r="Y249" s="105" t="s">
        <v>457</v>
      </c>
      <c r="Z249" s="102" t="s">
        <v>790</v>
      </c>
      <c r="AA249" s="102" t="s">
        <v>931</v>
      </c>
      <c r="AB249" s="106" t="s">
        <v>8</v>
      </c>
      <c r="AC249" s="105" t="s">
        <v>510</v>
      </c>
      <c r="AD249" s="105" t="s">
        <v>510</v>
      </c>
      <c r="AE249" s="98" t="str">
        <f>IFERROR((0%/0%),"No aplica")</f>
        <v>No aplica</v>
      </c>
      <c r="AF249" s="98">
        <f>IFERROR((0%/100%),"No aplica")</f>
        <v>0</v>
      </c>
      <c r="AG249" s="105" t="s">
        <v>457</v>
      </c>
      <c r="AH249" s="102" t="s">
        <v>1173</v>
      </c>
      <c r="AI249" s="102" t="s">
        <v>1174</v>
      </c>
      <c r="AJ249" s="106" t="s">
        <v>8</v>
      </c>
      <c r="AK249" s="105" t="s">
        <v>1387</v>
      </c>
      <c r="AL249" s="105" t="s">
        <v>1387</v>
      </c>
      <c r="AM249" s="98">
        <f>IFERROR((100%/100%),"No aplica")</f>
        <v>1</v>
      </c>
      <c r="AN249" s="98">
        <f>IFERROR((100%/100%),"No aplica")</f>
        <v>1</v>
      </c>
      <c r="AO249" s="105" t="s">
        <v>458</v>
      </c>
      <c r="AP249" s="102" t="s">
        <v>1532</v>
      </c>
      <c r="AQ249" s="102" t="s">
        <v>1463</v>
      </c>
      <c r="AR249" s="206" t="s">
        <v>1533</v>
      </c>
    </row>
    <row r="250" spans="1:44" ht="31.5" x14ac:dyDescent="0.25">
      <c r="A250" s="161"/>
      <c r="B250" s="162"/>
      <c r="C250" s="163"/>
      <c r="D250" s="163"/>
      <c r="E250" s="163"/>
      <c r="F250" s="163"/>
      <c r="G250" s="54" t="s">
        <v>848</v>
      </c>
      <c r="H250" s="55">
        <v>43497</v>
      </c>
      <c r="I250" s="55">
        <v>43524</v>
      </c>
      <c r="J250" s="95" t="s">
        <v>588</v>
      </c>
      <c r="K250" s="164"/>
      <c r="L250" s="108"/>
      <c r="M250" s="105"/>
      <c r="N250" s="105"/>
      <c r="O250" s="98"/>
      <c r="P250" s="98"/>
      <c r="Q250" s="105"/>
      <c r="R250" s="102"/>
      <c r="S250" s="102"/>
      <c r="T250" s="106"/>
      <c r="U250" s="105"/>
      <c r="V250" s="105"/>
      <c r="W250" s="98"/>
      <c r="X250" s="98"/>
      <c r="Y250" s="105"/>
      <c r="Z250" s="102"/>
      <c r="AA250" s="102"/>
      <c r="AB250" s="106"/>
      <c r="AC250" s="105"/>
      <c r="AD250" s="105"/>
      <c r="AE250" s="98"/>
      <c r="AF250" s="98"/>
      <c r="AG250" s="105"/>
      <c r="AH250" s="102"/>
      <c r="AI250" s="102"/>
      <c r="AJ250" s="106"/>
      <c r="AK250" s="105"/>
      <c r="AL250" s="105"/>
      <c r="AM250" s="98"/>
      <c r="AN250" s="98"/>
      <c r="AO250" s="105"/>
      <c r="AP250" s="102"/>
      <c r="AQ250" s="102"/>
      <c r="AR250" s="207"/>
    </row>
    <row r="251" spans="1:44" ht="31.5" x14ac:dyDescent="0.25">
      <c r="A251" s="161"/>
      <c r="B251" s="162"/>
      <c r="C251" s="163"/>
      <c r="D251" s="163"/>
      <c r="E251" s="163"/>
      <c r="F251" s="163"/>
      <c r="G251" s="54" t="s">
        <v>849</v>
      </c>
      <c r="H251" s="55">
        <v>43525</v>
      </c>
      <c r="I251" s="55">
        <v>43616</v>
      </c>
      <c r="J251" s="95" t="s">
        <v>588</v>
      </c>
      <c r="K251" s="164"/>
      <c r="L251" s="108"/>
      <c r="M251" s="105"/>
      <c r="N251" s="105"/>
      <c r="O251" s="98"/>
      <c r="P251" s="98"/>
      <c r="Q251" s="105"/>
      <c r="R251" s="102"/>
      <c r="S251" s="102"/>
      <c r="T251" s="106"/>
      <c r="U251" s="105"/>
      <c r="V251" s="105"/>
      <c r="W251" s="98"/>
      <c r="X251" s="98"/>
      <c r="Y251" s="105"/>
      <c r="Z251" s="102"/>
      <c r="AA251" s="102"/>
      <c r="AB251" s="106"/>
      <c r="AC251" s="105"/>
      <c r="AD251" s="105"/>
      <c r="AE251" s="98"/>
      <c r="AF251" s="98"/>
      <c r="AG251" s="105"/>
      <c r="AH251" s="102"/>
      <c r="AI251" s="102"/>
      <c r="AJ251" s="106"/>
      <c r="AK251" s="105"/>
      <c r="AL251" s="105"/>
      <c r="AM251" s="98"/>
      <c r="AN251" s="98"/>
      <c r="AO251" s="105"/>
      <c r="AP251" s="102"/>
      <c r="AQ251" s="102"/>
      <c r="AR251" s="207"/>
    </row>
    <row r="252" spans="1:44" ht="31.5" x14ac:dyDescent="0.25">
      <c r="A252" s="161"/>
      <c r="B252" s="162"/>
      <c r="C252" s="163"/>
      <c r="D252" s="163"/>
      <c r="E252" s="163"/>
      <c r="F252" s="163"/>
      <c r="G252" s="54" t="s">
        <v>91</v>
      </c>
      <c r="H252" s="55">
        <v>43466</v>
      </c>
      <c r="I252" s="55">
        <v>43830</v>
      </c>
      <c r="J252" s="95" t="s">
        <v>588</v>
      </c>
      <c r="K252" s="164"/>
      <c r="L252" s="108"/>
      <c r="M252" s="105"/>
      <c r="N252" s="105"/>
      <c r="O252" s="98"/>
      <c r="P252" s="98"/>
      <c r="Q252" s="105"/>
      <c r="R252" s="102"/>
      <c r="S252" s="102"/>
      <c r="T252" s="106"/>
      <c r="U252" s="105"/>
      <c r="V252" s="105"/>
      <c r="W252" s="98"/>
      <c r="X252" s="98"/>
      <c r="Y252" s="105"/>
      <c r="Z252" s="102"/>
      <c r="AA252" s="102"/>
      <c r="AB252" s="106"/>
      <c r="AC252" s="105"/>
      <c r="AD252" s="105"/>
      <c r="AE252" s="98"/>
      <c r="AF252" s="98"/>
      <c r="AG252" s="105"/>
      <c r="AH252" s="102"/>
      <c r="AI252" s="102"/>
      <c r="AJ252" s="106"/>
      <c r="AK252" s="105"/>
      <c r="AL252" s="105"/>
      <c r="AM252" s="98"/>
      <c r="AN252" s="98"/>
      <c r="AO252" s="105"/>
      <c r="AP252" s="102"/>
      <c r="AQ252" s="102"/>
      <c r="AR252" s="207"/>
    </row>
    <row r="253" spans="1:44" ht="31.5" x14ac:dyDescent="0.25">
      <c r="A253" s="161"/>
      <c r="B253" s="162"/>
      <c r="C253" s="163"/>
      <c r="D253" s="163"/>
      <c r="E253" s="163"/>
      <c r="F253" s="163" t="s">
        <v>11</v>
      </c>
      <c r="G253" s="54" t="s">
        <v>92</v>
      </c>
      <c r="H253" s="55">
        <v>43497</v>
      </c>
      <c r="I253" s="55">
        <v>43646</v>
      </c>
      <c r="J253" s="58" t="s">
        <v>588</v>
      </c>
      <c r="K253" s="164"/>
      <c r="L253" s="108"/>
      <c r="M253" s="105"/>
      <c r="N253" s="105"/>
      <c r="O253" s="98"/>
      <c r="P253" s="98"/>
      <c r="Q253" s="105"/>
      <c r="R253" s="102"/>
      <c r="S253" s="102"/>
      <c r="T253" s="106"/>
      <c r="U253" s="105"/>
      <c r="V253" s="105"/>
      <c r="W253" s="98"/>
      <c r="X253" s="98"/>
      <c r="Y253" s="105"/>
      <c r="Z253" s="102"/>
      <c r="AA253" s="102"/>
      <c r="AB253" s="106"/>
      <c r="AC253" s="105"/>
      <c r="AD253" s="105"/>
      <c r="AE253" s="98"/>
      <c r="AF253" s="98"/>
      <c r="AG253" s="105"/>
      <c r="AH253" s="102"/>
      <c r="AI253" s="102"/>
      <c r="AJ253" s="106"/>
      <c r="AK253" s="105"/>
      <c r="AL253" s="105"/>
      <c r="AM253" s="98"/>
      <c r="AN253" s="98"/>
      <c r="AO253" s="105"/>
      <c r="AP253" s="102"/>
      <c r="AQ253" s="102"/>
      <c r="AR253" s="207"/>
    </row>
    <row r="254" spans="1:44" ht="31.5" x14ac:dyDescent="0.25">
      <c r="A254" s="161"/>
      <c r="B254" s="162"/>
      <c r="C254" s="163"/>
      <c r="D254" s="163"/>
      <c r="E254" s="163"/>
      <c r="F254" s="163"/>
      <c r="G254" s="54" t="s">
        <v>93</v>
      </c>
      <c r="H254" s="55">
        <v>43647</v>
      </c>
      <c r="I254" s="55">
        <v>43830</v>
      </c>
      <c r="J254" s="58" t="s">
        <v>588</v>
      </c>
      <c r="K254" s="164"/>
      <c r="L254" s="108"/>
      <c r="M254" s="105"/>
      <c r="N254" s="105"/>
      <c r="O254" s="98"/>
      <c r="P254" s="98"/>
      <c r="Q254" s="105"/>
      <c r="R254" s="102"/>
      <c r="S254" s="102"/>
      <c r="T254" s="106"/>
      <c r="U254" s="105"/>
      <c r="V254" s="105"/>
      <c r="W254" s="98"/>
      <c r="X254" s="98"/>
      <c r="Y254" s="105"/>
      <c r="Z254" s="102"/>
      <c r="AA254" s="102"/>
      <c r="AB254" s="106"/>
      <c r="AC254" s="105"/>
      <c r="AD254" s="105"/>
      <c r="AE254" s="98"/>
      <c r="AF254" s="98"/>
      <c r="AG254" s="105"/>
      <c r="AH254" s="102"/>
      <c r="AI254" s="102"/>
      <c r="AJ254" s="106"/>
      <c r="AK254" s="105"/>
      <c r="AL254" s="105"/>
      <c r="AM254" s="98"/>
      <c r="AN254" s="98"/>
      <c r="AO254" s="105"/>
      <c r="AP254" s="102"/>
      <c r="AQ254" s="102"/>
      <c r="AR254" s="207"/>
    </row>
    <row r="255" spans="1:44" ht="31.5" x14ac:dyDescent="0.25">
      <c r="A255" s="161"/>
      <c r="B255" s="162"/>
      <c r="C255" s="163"/>
      <c r="D255" s="163"/>
      <c r="E255" s="163"/>
      <c r="F255" s="163"/>
      <c r="G255" s="54" t="s">
        <v>94</v>
      </c>
      <c r="H255" s="55">
        <v>43739</v>
      </c>
      <c r="I255" s="55">
        <v>43830</v>
      </c>
      <c r="J255" s="95" t="s">
        <v>588</v>
      </c>
      <c r="K255" s="164"/>
      <c r="L255" s="108"/>
      <c r="M255" s="105"/>
      <c r="N255" s="105"/>
      <c r="O255" s="98"/>
      <c r="P255" s="98"/>
      <c r="Q255" s="105"/>
      <c r="R255" s="102"/>
      <c r="S255" s="102"/>
      <c r="T255" s="106"/>
      <c r="U255" s="105"/>
      <c r="V255" s="105"/>
      <c r="W255" s="98"/>
      <c r="X255" s="98"/>
      <c r="Y255" s="105"/>
      <c r="Z255" s="102"/>
      <c r="AA255" s="102"/>
      <c r="AB255" s="106"/>
      <c r="AC255" s="105"/>
      <c r="AD255" s="105"/>
      <c r="AE255" s="98"/>
      <c r="AF255" s="98"/>
      <c r="AG255" s="105"/>
      <c r="AH255" s="102"/>
      <c r="AI255" s="102"/>
      <c r="AJ255" s="106"/>
      <c r="AK255" s="105"/>
      <c r="AL255" s="105"/>
      <c r="AM255" s="98"/>
      <c r="AN255" s="98"/>
      <c r="AO255" s="105"/>
      <c r="AP255" s="102"/>
      <c r="AQ255" s="102"/>
      <c r="AR255" s="208"/>
    </row>
    <row r="256" spans="1:44" ht="31.5" x14ac:dyDescent="0.25">
      <c r="A256" s="156" t="s">
        <v>96</v>
      </c>
      <c r="B256" s="106" t="s">
        <v>296</v>
      </c>
      <c r="C256" s="101">
        <v>50</v>
      </c>
      <c r="D256" s="101" t="s">
        <v>95</v>
      </c>
      <c r="E256" s="180">
        <v>0</v>
      </c>
      <c r="F256" s="105" t="s">
        <v>420</v>
      </c>
      <c r="G256" s="43" t="s">
        <v>422</v>
      </c>
      <c r="H256" s="15">
        <v>43466</v>
      </c>
      <c r="I256" s="15">
        <v>43497</v>
      </c>
      <c r="J256" s="68" t="s">
        <v>588</v>
      </c>
      <c r="K256" s="108" t="s">
        <v>324</v>
      </c>
      <c r="L256" s="108" t="s">
        <v>333</v>
      </c>
      <c r="M256" s="105" t="s">
        <v>511</v>
      </c>
      <c r="N256" s="105" t="s">
        <v>511</v>
      </c>
      <c r="O256" s="98" t="str">
        <f>IFERROR((0/0),"No aplica")</f>
        <v>No aplica</v>
      </c>
      <c r="P256" s="98">
        <f>IFERROR((0/1),"No aplica")</f>
        <v>0</v>
      </c>
      <c r="Q256" s="105" t="s">
        <v>457</v>
      </c>
      <c r="R256" s="102" t="s">
        <v>574</v>
      </c>
      <c r="S256" s="102" t="s">
        <v>585</v>
      </c>
      <c r="T256" s="106" t="s">
        <v>333</v>
      </c>
      <c r="U256" s="105" t="s">
        <v>511</v>
      </c>
      <c r="V256" s="105" t="s">
        <v>511</v>
      </c>
      <c r="W256" s="98" t="str">
        <f>IFERROR((0/0),"No aplica")</f>
        <v>No aplica</v>
      </c>
      <c r="X256" s="98">
        <f>IFERROR((0/1),"No aplica")</f>
        <v>0</v>
      </c>
      <c r="Y256" s="105" t="s">
        <v>457</v>
      </c>
      <c r="Z256" s="102" t="s">
        <v>850</v>
      </c>
      <c r="AA256" s="102" t="s">
        <v>791</v>
      </c>
      <c r="AB256" s="106" t="s">
        <v>333</v>
      </c>
      <c r="AC256" s="105" t="s">
        <v>511</v>
      </c>
      <c r="AD256" s="105" t="s">
        <v>511</v>
      </c>
      <c r="AE256" s="98" t="str">
        <f>IFERROR((0/0),"No aplica")</f>
        <v>No aplica</v>
      </c>
      <c r="AF256" s="98">
        <f>IFERROR((0/1),"No aplica")</f>
        <v>0</v>
      </c>
      <c r="AG256" s="105" t="s">
        <v>457</v>
      </c>
      <c r="AH256" s="102" t="s">
        <v>1156</v>
      </c>
      <c r="AI256" s="102" t="s">
        <v>1175</v>
      </c>
      <c r="AJ256" s="106" t="s">
        <v>333</v>
      </c>
      <c r="AK256" s="105" t="s">
        <v>1388</v>
      </c>
      <c r="AL256" s="105" t="s">
        <v>1388</v>
      </c>
      <c r="AM256" s="98">
        <f>IFERROR((1/1),"No aplica")</f>
        <v>1</v>
      </c>
      <c r="AN256" s="98">
        <f>IFERROR((1/1),"No aplica")</f>
        <v>1</v>
      </c>
      <c r="AO256" s="105" t="s">
        <v>458</v>
      </c>
      <c r="AP256" s="102" t="s">
        <v>1464</v>
      </c>
      <c r="AQ256" s="102" t="s">
        <v>1535</v>
      </c>
      <c r="AR256" s="206" t="s">
        <v>1534</v>
      </c>
    </row>
    <row r="257" spans="1:44" ht="31.5" x14ac:dyDescent="0.25">
      <c r="A257" s="156"/>
      <c r="B257" s="106"/>
      <c r="C257" s="101"/>
      <c r="D257" s="101"/>
      <c r="E257" s="180"/>
      <c r="F257" s="105"/>
      <c r="G257" s="43" t="s">
        <v>423</v>
      </c>
      <c r="H257" s="15">
        <v>43586</v>
      </c>
      <c r="I257" s="15">
        <v>43769</v>
      </c>
      <c r="J257" s="68" t="s">
        <v>588</v>
      </c>
      <c r="K257" s="108"/>
      <c r="L257" s="108"/>
      <c r="M257" s="105"/>
      <c r="N257" s="105"/>
      <c r="O257" s="98"/>
      <c r="P257" s="98"/>
      <c r="Q257" s="105"/>
      <c r="R257" s="102"/>
      <c r="S257" s="102"/>
      <c r="T257" s="106"/>
      <c r="U257" s="105"/>
      <c r="V257" s="105"/>
      <c r="W257" s="98"/>
      <c r="X257" s="98"/>
      <c r="Y257" s="105"/>
      <c r="Z257" s="102"/>
      <c r="AA257" s="102"/>
      <c r="AB257" s="106"/>
      <c r="AC257" s="105"/>
      <c r="AD257" s="105"/>
      <c r="AE257" s="98"/>
      <c r="AF257" s="98"/>
      <c r="AG257" s="105"/>
      <c r="AH257" s="102"/>
      <c r="AI257" s="102"/>
      <c r="AJ257" s="106"/>
      <c r="AK257" s="105"/>
      <c r="AL257" s="105"/>
      <c r="AM257" s="98"/>
      <c r="AN257" s="98"/>
      <c r="AO257" s="105"/>
      <c r="AP257" s="102"/>
      <c r="AQ257" s="102"/>
      <c r="AR257" s="207"/>
    </row>
    <row r="258" spans="1:44" ht="31.5" x14ac:dyDescent="0.25">
      <c r="A258" s="156"/>
      <c r="B258" s="106"/>
      <c r="C258" s="101"/>
      <c r="D258" s="101"/>
      <c r="E258" s="180"/>
      <c r="F258" s="105"/>
      <c r="G258" s="43" t="s">
        <v>254</v>
      </c>
      <c r="H258" s="15">
        <v>43647</v>
      </c>
      <c r="I258" s="15">
        <v>43830</v>
      </c>
      <c r="J258" s="68" t="s">
        <v>588</v>
      </c>
      <c r="K258" s="108"/>
      <c r="L258" s="108"/>
      <c r="M258" s="105"/>
      <c r="N258" s="105"/>
      <c r="O258" s="98"/>
      <c r="P258" s="98"/>
      <c r="Q258" s="105"/>
      <c r="R258" s="102"/>
      <c r="S258" s="102"/>
      <c r="T258" s="106"/>
      <c r="U258" s="105"/>
      <c r="V258" s="105"/>
      <c r="W258" s="98"/>
      <c r="X258" s="98"/>
      <c r="Y258" s="105"/>
      <c r="Z258" s="102"/>
      <c r="AA258" s="102"/>
      <c r="AB258" s="106"/>
      <c r="AC258" s="105"/>
      <c r="AD258" s="105"/>
      <c r="AE258" s="98"/>
      <c r="AF258" s="98"/>
      <c r="AG258" s="105"/>
      <c r="AH258" s="102"/>
      <c r="AI258" s="102"/>
      <c r="AJ258" s="106"/>
      <c r="AK258" s="105"/>
      <c r="AL258" s="105"/>
      <c r="AM258" s="98"/>
      <c r="AN258" s="98"/>
      <c r="AO258" s="105"/>
      <c r="AP258" s="102"/>
      <c r="AQ258" s="102"/>
      <c r="AR258" s="207"/>
    </row>
    <row r="259" spans="1:44" ht="31.5" x14ac:dyDescent="0.25">
      <c r="A259" s="156"/>
      <c r="B259" s="106"/>
      <c r="C259" s="101"/>
      <c r="D259" s="101"/>
      <c r="E259" s="180"/>
      <c r="F259" s="105"/>
      <c r="G259" s="43" t="s">
        <v>255</v>
      </c>
      <c r="H259" s="15">
        <v>43739</v>
      </c>
      <c r="I259" s="15">
        <v>43830</v>
      </c>
      <c r="J259" s="68" t="s">
        <v>588</v>
      </c>
      <c r="K259" s="108"/>
      <c r="L259" s="108"/>
      <c r="M259" s="105"/>
      <c r="N259" s="105"/>
      <c r="O259" s="98"/>
      <c r="P259" s="98"/>
      <c r="Q259" s="105"/>
      <c r="R259" s="102"/>
      <c r="S259" s="102"/>
      <c r="T259" s="106"/>
      <c r="U259" s="105"/>
      <c r="V259" s="105"/>
      <c r="W259" s="98"/>
      <c r="X259" s="98"/>
      <c r="Y259" s="105"/>
      <c r="Z259" s="102"/>
      <c r="AA259" s="102"/>
      <c r="AB259" s="106"/>
      <c r="AC259" s="105"/>
      <c r="AD259" s="105"/>
      <c r="AE259" s="98"/>
      <c r="AF259" s="98"/>
      <c r="AG259" s="105"/>
      <c r="AH259" s="102"/>
      <c r="AI259" s="102"/>
      <c r="AJ259" s="106"/>
      <c r="AK259" s="105"/>
      <c r="AL259" s="105"/>
      <c r="AM259" s="98"/>
      <c r="AN259" s="98"/>
      <c r="AO259" s="105"/>
      <c r="AP259" s="102"/>
      <c r="AQ259" s="102"/>
      <c r="AR259" s="207"/>
    </row>
    <row r="260" spans="1:44" ht="31.5" x14ac:dyDescent="0.25">
      <c r="A260" s="156"/>
      <c r="B260" s="106"/>
      <c r="C260" s="101"/>
      <c r="D260" s="101"/>
      <c r="E260" s="180"/>
      <c r="F260" s="105"/>
      <c r="G260" s="43" t="s">
        <v>443</v>
      </c>
      <c r="H260" s="15">
        <v>43617</v>
      </c>
      <c r="I260" s="15">
        <v>43830</v>
      </c>
      <c r="J260" s="68" t="s">
        <v>588</v>
      </c>
      <c r="K260" s="108"/>
      <c r="L260" s="108"/>
      <c r="M260" s="105"/>
      <c r="N260" s="105"/>
      <c r="O260" s="98"/>
      <c r="P260" s="98"/>
      <c r="Q260" s="105"/>
      <c r="R260" s="102"/>
      <c r="S260" s="102"/>
      <c r="T260" s="106"/>
      <c r="U260" s="105"/>
      <c r="V260" s="105"/>
      <c r="W260" s="98"/>
      <c r="X260" s="98"/>
      <c r="Y260" s="105"/>
      <c r="Z260" s="102"/>
      <c r="AA260" s="102"/>
      <c r="AB260" s="106"/>
      <c r="AC260" s="105"/>
      <c r="AD260" s="105"/>
      <c r="AE260" s="98"/>
      <c r="AF260" s="98"/>
      <c r="AG260" s="105"/>
      <c r="AH260" s="102"/>
      <c r="AI260" s="102"/>
      <c r="AJ260" s="106"/>
      <c r="AK260" s="105"/>
      <c r="AL260" s="105"/>
      <c r="AM260" s="98"/>
      <c r="AN260" s="98"/>
      <c r="AO260" s="105"/>
      <c r="AP260" s="102"/>
      <c r="AQ260" s="102"/>
      <c r="AR260" s="208"/>
    </row>
    <row r="261" spans="1:44" x14ac:dyDescent="0.25">
      <c r="A261" s="92" t="s">
        <v>380</v>
      </c>
      <c r="B261" s="22" t="s">
        <v>380</v>
      </c>
      <c r="C261" s="7"/>
      <c r="D261" s="7" t="s">
        <v>380</v>
      </c>
      <c r="E261" s="7" t="s">
        <v>380</v>
      </c>
      <c r="F261" s="7" t="s">
        <v>380</v>
      </c>
      <c r="G261" s="45" t="s">
        <v>380</v>
      </c>
      <c r="H261" s="7" t="s">
        <v>380</v>
      </c>
      <c r="I261" s="7" t="s">
        <v>380</v>
      </c>
      <c r="J261" s="21" t="s">
        <v>380</v>
      </c>
      <c r="K261" s="29" t="s">
        <v>380</v>
      </c>
      <c r="L261" s="29" t="s">
        <v>380</v>
      </c>
      <c r="M261" s="7" t="s">
        <v>380</v>
      </c>
      <c r="N261" s="7" t="s">
        <v>380</v>
      </c>
      <c r="O261" s="7" t="s">
        <v>380</v>
      </c>
      <c r="P261" s="7" t="s">
        <v>380</v>
      </c>
      <c r="Q261" s="7" t="s">
        <v>380</v>
      </c>
      <c r="R261" s="7" t="s">
        <v>380</v>
      </c>
      <c r="S261" s="7" t="s">
        <v>380</v>
      </c>
      <c r="T261" s="22" t="s">
        <v>380</v>
      </c>
      <c r="U261" s="7" t="s">
        <v>380</v>
      </c>
      <c r="V261" s="7" t="s">
        <v>380</v>
      </c>
      <c r="W261" s="7" t="s">
        <v>380</v>
      </c>
      <c r="X261" s="7" t="s">
        <v>380</v>
      </c>
      <c r="Y261" s="22" t="s">
        <v>380</v>
      </c>
      <c r="Z261" s="81" t="s">
        <v>380</v>
      </c>
      <c r="AA261" s="81" t="s">
        <v>380</v>
      </c>
      <c r="AB261" s="22" t="s">
        <v>380</v>
      </c>
      <c r="AC261" s="7" t="s">
        <v>380</v>
      </c>
      <c r="AD261" s="7" t="s">
        <v>380</v>
      </c>
      <c r="AE261" s="7" t="s">
        <v>380</v>
      </c>
      <c r="AF261" s="71" t="s">
        <v>380</v>
      </c>
      <c r="AG261" s="7" t="s">
        <v>380</v>
      </c>
      <c r="AH261" s="81" t="s">
        <v>380</v>
      </c>
      <c r="AI261" s="81" t="s">
        <v>380</v>
      </c>
      <c r="AJ261" s="22" t="s">
        <v>380</v>
      </c>
      <c r="AK261" s="7" t="s">
        <v>380</v>
      </c>
      <c r="AL261" s="7" t="s">
        <v>380</v>
      </c>
      <c r="AM261" s="7" t="s">
        <v>380</v>
      </c>
      <c r="AN261" s="7" t="s">
        <v>380</v>
      </c>
      <c r="AO261" s="7" t="s">
        <v>380</v>
      </c>
      <c r="AP261" s="81" t="s">
        <v>380</v>
      </c>
      <c r="AQ261" s="81" t="s">
        <v>380</v>
      </c>
      <c r="AR261" s="82" t="s">
        <v>380</v>
      </c>
    </row>
    <row r="262" spans="1:44" ht="90" customHeight="1" x14ac:dyDescent="0.25">
      <c r="A262" s="156" t="s">
        <v>99</v>
      </c>
      <c r="B262" s="106" t="s">
        <v>353</v>
      </c>
      <c r="C262" s="101">
        <v>51</v>
      </c>
      <c r="D262" s="101" t="s">
        <v>1023</v>
      </c>
      <c r="E262" s="105" t="s">
        <v>350</v>
      </c>
      <c r="F262" s="105" t="s">
        <v>427</v>
      </c>
      <c r="G262" s="44" t="s">
        <v>355</v>
      </c>
      <c r="H262" s="15">
        <v>43473</v>
      </c>
      <c r="I262" s="15">
        <v>43585</v>
      </c>
      <c r="J262" s="68" t="s">
        <v>345</v>
      </c>
      <c r="K262" s="109" t="s">
        <v>319</v>
      </c>
      <c r="L262" s="170" t="s">
        <v>1071</v>
      </c>
      <c r="M262" s="101" t="s">
        <v>719</v>
      </c>
      <c r="N262" s="101" t="s">
        <v>720</v>
      </c>
      <c r="O262" s="100">
        <f>IFERROR((268/160),"No aplica")</f>
        <v>1.675</v>
      </c>
      <c r="P262" s="100">
        <f>IFERROR((268/900),"No aplica")</f>
        <v>0.29777777777777775</v>
      </c>
      <c r="Q262" s="101" t="s">
        <v>458</v>
      </c>
      <c r="R262" s="103" t="s">
        <v>545</v>
      </c>
      <c r="S262" s="103" t="s">
        <v>878</v>
      </c>
      <c r="T262" s="110" t="s">
        <v>1071</v>
      </c>
      <c r="U262" s="101" t="s">
        <v>721</v>
      </c>
      <c r="V262" s="118" t="s">
        <v>722</v>
      </c>
      <c r="W262" s="121">
        <f>IFERROR((145/360),"No aplica")</f>
        <v>0.40277777777777779</v>
      </c>
      <c r="X262" s="121">
        <f>IFERROR(((268+145)/900),"No aplica")</f>
        <v>0.4588888888888889</v>
      </c>
      <c r="Y262" s="101" t="s">
        <v>531</v>
      </c>
      <c r="Z262" s="103" t="s">
        <v>932</v>
      </c>
      <c r="AA262" s="103" t="s">
        <v>851</v>
      </c>
      <c r="AB262" s="110" t="s">
        <v>1071</v>
      </c>
      <c r="AC262" s="101" t="s">
        <v>1163</v>
      </c>
      <c r="AD262" s="118" t="s">
        <v>1164</v>
      </c>
      <c r="AE262" s="121">
        <f>IFERROR((457/200),"No aplica")</f>
        <v>2.2850000000000001</v>
      </c>
      <c r="AF262" s="121">
        <f>IFERROR(((268+145+457)/900),"No aplica")</f>
        <v>0.96666666666666667</v>
      </c>
      <c r="AG262" s="101" t="s">
        <v>458</v>
      </c>
      <c r="AH262" s="103" t="s">
        <v>1187</v>
      </c>
      <c r="AI262" s="103" t="s">
        <v>1157</v>
      </c>
      <c r="AJ262" s="110" t="s">
        <v>1071</v>
      </c>
      <c r="AK262" s="101" t="s">
        <v>1389</v>
      </c>
      <c r="AL262" s="101" t="s">
        <v>721</v>
      </c>
      <c r="AM262" s="121">
        <f>IFERROR((360/180),"No aplica")</f>
        <v>2</v>
      </c>
      <c r="AN262" s="121">
        <f>IFERROR(((268+145+457+360)/900),"No aplica")</f>
        <v>1.3666666666666667</v>
      </c>
      <c r="AO262" s="101" t="s">
        <v>468</v>
      </c>
      <c r="AP262" s="103" t="s">
        <v>1508</v>
      </c>
      <c r="AQ262" s="103" t="s">
        <v>1458</v>
      </c>
      <c r="AR262" s="212" t="s">
        <v>1536</v>
      </c>
    </row>
    <row r="263" spans="1:44" ht="90" customHeight="1" x14ac:dyDescent="0.25">
      <c r="A263" s="156"/>
      <c r="B263" s="106"/>
      <c r="C263" s="101"/>
      <c r="D263" s="101"/>
      <c r="E263" s="105"/>
      <c r="F263" s="105"/>
      <c r="G263" s="44" t="s">
        <v>852</v>
      </c>
      <c r="H263" s="15">
        <v>43556</v>
      </c>
      <c r="I263" s="15">
        <v>43830</v>
      </c>
      <c r="J263" s="68" t="s">
        <v>345</v>
      </c>
      <c r="K263" s="109"/>
      <c r="L263" s="170"/>
      <c r="M263" s="101"/>
      <c r="N263" s="101"/>
      <c r="O263" s="100"/>
      <c r="P263" s="100"/>
      <c r="Q263" s="101"/>
      <c r="R263" s="103"/>
      <c r="S263" s="103"/>
      <c r="T263" s="110"/>
      <c r="U263" s="101"/>
      <c r="V263" s="119"/>
      <c r="W263" s="121"/>
      <c r="X263" s="121"/>
      <c r="Y263" s="101"/>
      <c r="Z263" s="103"/>
      <c r="AA263" s="103"/>
      <c r="AB263" s="110"/>
      <c r="AC263" s="101"/>
      <c r="AD263" s="119"/>
      <c r="AE263" s="121"/>
      <c r="AF263" s="121"/>
      <c r="AG263" s="101"/>
      <c r="AH263" s="103"/>
      <c r="AI263" s="103"/>
      <c r="AJ263" s="110"/>
      <c r="AK263" s="101"/>
      <c r="AL263" s="101"/>
      <c r="AM263" s="121"/>
      <c r="AN263" s="121"/>
      <c r="AO263" s="101"/>
      <c r="AP263" s="103"/>
      <c r="AQ263" s="103"/>
      <c r="AR263" s="213"/>
    </row>
    <row r="264" spans="1:44" ht="90" customHeight="1" x14ac:dyDescent="0.25">
      <c r="A264" s="156"/>
      <c r="B264" s="106"/>
      <c r="C264" s="101"/>
      <c r="D264" s="101"/>
      <c r="E264" s="105"/>
      <c r="F264" s="105"/>
      <c r="G264" s="44" t="s">
        <v>412</v>
      </c>
      <c r="H264" s="15">
        <v>43556</v>
      </c>
      <c r="I264" s="15">
        <v>43830</v>
      </c>
      <c r="J264" s="68" t="s">
        <v>345</v>
      </c>
      <c r="K264" s="109"/>
      <c r="L264" s="170"/>
      <c r="M264" s="101"/>
      <c r="N264" s="101"/>
      <c r="O264" s="100"/>
      <c r="P264" s="100"/>
      <c r="Q264" s="101"/>
      <c r="R264" s="103"/>
      <c r="S264" s="103"/>
      <c r="T264" s="110"/>
      <c r="U264" s="101"/>
      <c r="V264" s="119"/>
      <c r="W264" s="121"/>
      <c r="X264" s="121"/>
      <c r="Y264" s="101"/>
      <c r="Z264" s="103"/>
      <c r="AA264" s="103"/>
      <c r="AB264" s="110"/>
      <c r="AC264" s="101"/>
      <c r="AD264" s="119"/>
      <c r="AE264" s="121"/>
      <c r="AF264" s="121"/>
      <c r="AG264" s="101"/>
      <c r="AH264" s="103"/>
      <c r="AI264" s="103"/>
      <c r="AJ264" s="110"/>
      <c r="AK264" s="101"/>
      <c r="AL264" s="101"/>
      <c r="AM264" s="121"/>
      <c r="AN264" s="121"/>
      <c r="AO264" s="101"/>
      <c r="AP264" s="103"/>
      <c r="AQ264" s="103"/>
      <c r="AR264" s="213"/>
    </row>
    <row r="265" spans="1:44" ht="90" customHeight="1" x14ac:dyDescent="0.25">
      <c r="A265" s="156"/>
      <c r="B265" s="106"/>
      <c r="C265" s="101"/>
      <c r="D265" s="101"/>
      <c r="E265" s="105"/>
      <c r="F265" s="105"/>
      <c r="G265" s="44" t="s">
        <v>424</v>
      </c>
      <c r="H265" s="15">
        <v>43556</v>
      </c>
      <c r="I265" s="15" t="s">
        <v>354</v>
      </c>
      <c r="J265" s="68" t="s">
        <v>345</v>
      </c>
      <c r="K265" s="109"/>
      <c r="L265" s="170"/>
      <c r="M265" s="101"/>
      <c r="N265" s="101"/>
      <c r="O265" s="100"/>
      <c r="P265" s="100"/>
      <c r="Q265" s="101"/>
      <c r="R265" s="103"/>
      <c r="S265" s="103"/>
      <c r="T265" s="110"/>
      <c r="U265" s="101"/>
      <c r="V265" s="119"/>
      <c r="W265" s="121"/>
      <c r="X265" s="121"/>
      <c r="Y265" s="101"/>
      <c r="Z265" s="103"/>
      <c r="AA265" s="103"/>
      <c r="AB265" s="110"/>
      <c r="AC265" s="101"/>
      <c r="AD265" s="119"/>
      <c r="AE265" s="121"/>
      <c r="AF265" s="121"/>
      <c r="AG265" s="101"/>
      <c r="AH265" s="103"/>
      <c r="AI265" s="103"/>
      <c r="AJ265" s="110"/>
      <c r="AK265" s="101"/>
      <c r="AL265" s="101"/>
      <c r="AM265" s="121"/>
      <c r="AN265" s="121"/>
      <c r="AO265" s="101"/>
      <c r="AP265" s="103"/>
      <c r="AQ265" s="103"/>
      <c r="AR265" s="213"/>
    </row>
    <row r="266" spans="1:44" ht="90" customHeight="1" x14ac:dyDescent="0.25">
      <c r="A266" s="156"/>
      <c r="B266" s="106"/>
      <c r="C266" s="101"/>
      <c r="D266" s="101"/>
      <c r="E266" s="105"/>
      <c r="F266" s="105"/>
      <c r="G266" s="44" t="s">
        <v>425</v>
      </c>
      <c r="H266" s="15">
        <v>43770</v>
      </c>
      <c r="I266" s="15">
        <v>43830</v>
      </c>
      <c r="J266" s="68" t="s">
        <v>345</v>
      </c>
      <c r="K266" s="109"/>
      <c r="L266" s="170"/>
      <c r="M266" s="101"/>
      <c r="N266" s="101"/>
      <c r="O266" s="100"/>
      <c r="P266" s="100"/>
      <c r="Q266" s="101"/>
      <c r="R266" s="103"/>
      <c r="S266" s="103"/>
      <c r="T266" s="110"/>
      <c r="U266" s="101"/>
      <c r="V266" s="119"/>
      <c r="W266" s="121"/>
      <c r="X266" s="121"/>
      <c r="Y266" s="101"/>
      <c r="Z266" s="103"/>
      <c r="AA266" s="103"/>
      <c r="AB266" s="110"/>
      <c r="AC266" s="101"/>
      <c r="AD266" s="119"/>
      <c r="AE266" s="121"/>
      <c r="AF266" s="121"/>
      <c r="AG266" s="101"/>
      <c r="AH266" s="103"/>
      <c r="AI266" s="103"/>
      <c r="AJ266" s="110"/>
      <c r="AK266" s="101"/>
      <c r="AL266" s="101"/>
      <c r="AM266" s="121"/>
      <c r="AN266" s="121"/>
      <c r="AO266" s="101"/>
      <c r="AP266" s="103"/>
      <c r="AQ266" s="103"/>
      <c r="AR266" s="213"/>
    </row>
    <row r="267" spans="1:44" ht="90" customHeight="1" x14ac:dyDescent="0.25">
      <c r="A267" s="156"/>
      <c r="B267" s="106"/>
      <c r="C267" s="101"/>
      <c r="D267" s="101"/>
      <c r="E267" s="105"/>
      <c r="F267" s="105"/>
      <c r="G267" s="44" t="s">
        <v>718</v>
      </c>
      <c r="H267" s="15">
        <v>43647</v>
      </c>
      <c r="I267" s="15">
        <v>43830</v>
      </c>
      <c r="J267" s="68" t="s">
        <v>345</v>
      </c>
      <c r="K267" s="109"/>
      <c r="L267" s="170"/>
      <c r="M267" s="101"/>
      <c r="N267" s="101"/>
      <c r="O267" s="100"/>
      <c r="P267" s="100"/>
      <c r="Q267" s="101"/>
      <c r="R267" s="103"/>
      <c r="S267" s="103"/>
      <c r="T267" s="110"/>
      <c r="U267" s="101"/>
      <c r="V267" s="120"/>
      <c r="W267" s="121"/>
      <c r="X267" s="121"/>
      <c r="Y267" s="101"/>
      <c r="Z267" s="103"/>
      <c r="AA267" s="103"/>
      <c r="AB267" s="110"/>
      <c r="AC267" s="101"/>
      <c r="AD267" s="120"/>
      <c r="AE267" s="121"/>
      <c r="AF267" s="121"/>
      <c r="AG267" s="101"/>
      <c r="AH267" s="103"/>
      <c r="AI267" s="103"/>
      <c r="AJ267" s="110"/>
      <c r="AK267" s="101"/>
      <c r="AL267" s="101"/>
      <c r="AM267" s="121"/>
      <c r="AN267" s="121"/>
      <c r="AO267" s="101"/>
      <c r="AP267" s="103"/>
      <c r="AQ267" s="103"/>
      <c r="AR267" s="215"/>
    </row>
    <row r="268" spans="1:44" ht="91.5" customHeight="1" x14ac:dyDescent="0.25">
      <c r="A268" s="161" t="s">
        <v>99</v>
      </c>
      <c r="B268" s="173" t="s">
        <v>452</v>
      </c>
      <c r="C268" s="168">
        <v>52</v>
      </c>
      <c r="D268" s="168" t="s">
        <v>374</v>
      </c>
      <c r="E268" s="168">
        <v>0</v>
      </c>
      <c r="F268" s="168" t="s">
        <v>149</v>
      </c>
      <c r="G268" s="51" t="s">
        <v>150</v>
      </c>
      <c r="H268" s="55">
        <v>43473</v>
      </c>
      <c r="I268" s="55">
        <v>43769</v>
      </c>
      <c r="J268" s="95" t="s">
        <v>345</v>
      </c>
      <c r="K268" s="181" t="s">
        <v>325</v>
      </c>
      <c r="L268" s="170" t="s">
        <v>356</v>
      </c>
      <c r="M268" s="101" t="s">
        <v>512</v>
      </c>
      <c r="N268" s="101" t="s">
        <v>512</v>
      </c>
      <c r="O268" s="100" t="str">
        <f>IFERROR((0/0),"No aplica")</f>
        <v>No aplica</v>
      </c>
      <c r="P268" s="100">
        <f>IFERROR((0/4),"No aplica")</f>
        <v>0</v>
      </c>
      <c r="Q268" s="101" t="s">
        <v>457</v>
      </c>
      <c r="R268" s="103" t="s">
        <v>546</v>
      </c>
      <c r="S268" s="103" t="s">
        <v>853</v>
      </c>
      <c r="T268" s="110" t="s">
        <v>356</v>
      </c>
      <c r="U268" s="101" t="s">
        <v>512</v>
      </c>
      <c r="V268" s="101" t="s">
        <v>512</v>
      </c>
      <c r="W268" s="100" t="str">
        <f>IFERROR((0/0),"No aplica")</f>
        <v>No aplica</v>
      </c>
      <c r="X268" s="100">
        <f>IFERROR((0/4),"No aplica")</f>
        <v>0</v>
      </c>
      <c r="Y268" s="101" t="s">
        <v>457</v>
      </c>
      <c r="Z268" s="103" t="s">
        <v>854</v>
      </c>
      <c r="AA268" s="103" t="s">
        <v>612</v>
      </c>
      <c r="AB268" s="110" t="s">
        <v>356</v>
      </c>
      <c r="AC268" s="101" t="s">
        <v>1165</v>
      </c>
      <c r="AD268" s="101" t="s">
        <v>512</v>
      </c>
      <c r="AE268" s="100">
        <f>IFERROR((0/2),"No aplica")</f>
        <v>0</v>
      </c>
      <c r="AF268" s="100">
        <f>IFERROR((0/4),"No aplica")</f>
        <v>0</v>
      </c>
      <c r="AG268" s="101" t="s">
        <v>474</v>
      </c>
      <c r="AH268" s="103" t="s">
        <v>1158</v>
      </c>
      <c r="AI268" s="103" t="s">
        <v>1159</v>
      </c>
      <c r="AJ268" s="110" t="s">
        <v>356</v>
      </c>
      <c r="AK268" s="101" t="s">
        <v>1165</v>
      </c>
      <c r="AL268" s="101" t="s">
        <v>512</v>
      </c>
      <c r="AM268" s="100">
        <f>IFERROR((0/2),"No aplica")</f>
        <v>0</v>
      </c>
      <c r="AN268" s="100">
        <f>IFERROR((0/4),"No aplica")</f>
        <v>0</v>
      </c>
      <c r="AO268" s="101" t="s">
        <v>474</v>
      </c>
      <c r="AP268" s="103" t="s">
        <v>1467</v>
      </c>
      <c r="AQ268" s="103" t="s">
        <v>1466</v>
      </c>
      <c r="AR268" s="212" t="s">
        <v>1390</v>
      </c>
    </row>
    <row r="269" spans="1:44" ht="91.5" customHeight="1" x14ac:dyDescent="0.25">
      <c r="A269" s="161"/>
      <c r="B269" s="173"/>
      <c r="C269" s="168"/>
      <c r="D269" s="168"/>
      <c r="E269" s="168"/>
      <c r="F269" s="168"/>
      <c r="G269" s="51" t="s">
        <v>855</v>
      </c>
      <c r="H269" s="55">
        <v>43647</v>
      </c>
      <c r="I269" s="55">
        <v>43830</v>
      </c>
      <c r="J269" s="95" t="s">
        <v>345</v>
      </c>
      <c r="K269" s="182"/>
      <c r="L269" s="170"/>
      <c r="M269" s="101"/>
      <c r="N269" s="101"/>
      <c r="O269" s="100"/>
      <c r="P269" s="100"/>
      <c r="Q269" s="101"/>
      <c r="R269" s="103"/>
      <c r="S269" s="103"/>
      <c r="T269" s="110"/>
      <c r="U269" s="101"/>
      <c r="V269" s="101"/>
      <c r="W269" s="100"/>
      <c r="X269" s="100"/>
      <c r="Y269" s="101"/>
      <c r="Z269" s="103"/>
      <c r="AA269" s="103"/>
      <c r="AB269" s="110"/>
      <c r="AC269" s="101"/>
      <c r="AD269" s="101"/>
      <c r="AE269" s="100"/>
      <c r="AF269" s="100"/>
      <c r="AG269" s="101"/>
      <c r="AH269" s="103"/>
      <c r="AI269" s="103"/>
      <c r="AJ269" s="110"/>
      <c r="AK269" s="101"/>
      <c r="AL269" s="101"/>
      <c r="AM269" s="100"/>
      <c r="AN269" s="100"/>
      <c r="AO269" s="101"/>
      <c r="AP269" s="103"/>
      <c r="AQ269" s="103"/>
      <c r="AR269" s="215"/>
    </row>
    <row r="270" spans="1:44" ht="172.5" customHeight="1" x14ac:dyDescent="0.25">
      <c r="A270" s="161" t="s">
        <v>99</v>
      </c>
      <c r="B270" s="173" t="s">
        <v>451</v>
      </c>
      <c r="C270" s="168">
        <v>53</v>
      </c>
      <c r="D270" s="168" t="s">
        <v>988</v>
      </c>
      <c r="E270" s="168">
        <v>0</v>
      </c>
      <c r="F270" s="168" t="s">
        <v>151</v>
      </c>
      <c r="G270" s="51" t="s">
        <v>152</v>
      </c>
      <c r="H270" s="55">
        <v>43473</v>
      </c>
      <c r="I270" s="55">
        <v>43769</v>
      </c>
      <c r="J270" s="95" t="s">
        <v>345</v>
      </c>
      <c r="K270" s="179" t="s">
        <v>325</v>
      </c>
      <c r="L270" s="170" t="s">
        <v>856</v>
      </c>
      <c r="M270" s="101" t="s">
        <v>513</v>
      </c>
      <c r="N270" s="101" t="s">
        <v>513</v>
      </c>
      <c r="O270" s="100" t="str">
        <f>IFERROR((0/0),"No aplica")</f>
        <v>No aplica</v>
      </c>
      <c r="P270" s="100">
        <f>IFERROR((0/4),"No aplica")</f>
        <v>0</v>
      </c>
      <c r="Q270" s="101" t="s">
        <v>457</v>
      </c>
      <c r="R270" s="103" t="s">
        <v>575</v>
      </c>
      <c r="S270" s="103" t="s">
        <v>586</v>
      </c>
      <c r="T270" s="110" t="s">
        <v>856</v>
      </c>
      <c r="U270" s="101" t="s">
        <v>513</v>
      </c>
      <c r="V270" s="101" t="s">
        <v>513</v>
      </c>
      <c r="W270" s="100" t="str">
        <f>IFERROR((0/0),"No aplica")</f>
        <v>No aplica</v>
      </c>
      <c r="X270" s="100">
        <f>IFERROR((0/4),"No aplica")</f>
        <v>0</v>
      </c>
      <c r="Y270" s="101" t="s">
        <v>457</v>
      </c>
      <c r="Z270" s="103" t="s">
        <v>857</v>
      </c>
      <c r="AA270" s="103" t="s">
        <v>613</v>
      </c>
      <c r="AB270" s="110" t="s">
        <v>856</v>
      </c>
      <c r="AC270" s="101" t="s">
        <v>513</v>
      </c>
      <c r="AD270" s="101" t="s">
        <v>1166</v>
      </c>
      <c r="AE270" s="100" t="str">
        <f>IFERROR((2/0),"No aplica")</f>
        <v>No aplica</v>
      </c>
      <c r="AF270" s="100">
        <f>IFERROR((2/4),"No aplica")</f>
        <v>0.5</v>
      </c>
      <c r="AG270" s="101" t="s">
        <v>458</v>
      </c>
      <c r="AH270" s="103" t="s">
        <v>1284</v>
      </c>
      <c r="AI270" s="103" t="s">
        <v>1188</v>
      </c>
      <c r="AJ270" s="110" t="s">
        <v>856</v>
      </c>
      <c r="AK270" s="101" t="s">
        <v>1391</v>
      </c>
      <c r="AL270" s="101" t="s">
        <v>1392</v>
      </c>
      <c r="AM270" s="100">
        <f>IFERROR((3/4),"No aplica")</f>
        <v>0.75</v>
      </c>
      <c r="AN270" s="100">
        <f>IFERROR((5/4),"No aplica")</f>
        <v>1.25</v>
      </c>
      <c r="AO270" s="101" t="s">
        <v>468</v>
      </c>
      <c r="AP270" s="103" t="s">
        <v>1459</v>
      </c>
      <c r="AQ270" s="103" t="s">
        <v>1393</v>
      </c>
      <c r="AR270" s="212" t="s">
        <v>1394</v>
      </c>
    </row>
    <row r="271" spans="1:44" ht="172.5" customHeight="1" x14ac:dyDescent="0.25">
      <c r="A271" s="161"/>
      <c r="B271" s="173"/>
      <c r="C271" s="168"/>
      <c r="D271" s="168"/>
      <c r="E271" s="168"/>
      <c r="F271" s="168"/>
      <c r="G271" s="51" t="s">
        <v>858</v>
      </c>
      <c r="H271" s="55">
        <v>43739</v>
      </c>
      <c r="I271" s="55">
        <v>43830</v>
      </c>
      <c r="J271" s="95" t="s">
        <v>345</v>
      </c>
      <c r="K271" s="179"/>
      <c r="L271" s="170"/>
      <c r="M271" s="101"/>
      <c r="N271" s="101"/>
      <c r="O271" s="100"/>
      <c r="P271" s="100"/>
      <c r="Q271" s="101"/>
      <c r="R271" s="103"/>
      <c r="S271" s="103"/>
      <c r="T271" s="110"/>
      <c r="U271" s="101"/>
      <c r="V271" s="101"/>
      <c r="W271" s="100"/>
      <c r="X271" s="100"/>
      <c r="Y271" s="101"/>
      <c r="Z271" s="103"/>
      <c r="AA271" s="103"/>
      <c r="AB271" s="110"/>
      <c r="AC271" s="101"/>
      <c r="AD271" s="101"/>
      <c r="AE271" s="100"/>
      <c r="AF271" s="100"/>
      <c r="AG271" s="101"/>
      <c r="AH271" s="103"/>
      <c r="AI271" s="103"/>
      <c r="AJ271" s="110"/>
      <c r="AK271" s="101"/>
      <c r="AL271" s="101"/>
      <c r="AM271" s="100"/>
      <c r="AN271" s="100"/>
      <c r="AO271" s="101"/>
      <c r="AP271" s="103"/>
      <c r="AQ271" s="103"/>
      <c r="AR271" s="215"/>
    </row>
    <row r="272" spans="1:44" ht="214.5" customHeight="1" x14ac:dyDescent="0.25">
      <c r="A272" s="156" t="s">
        <v>99</v>
      </c>
      <c r="B272" s="110" t="s">
        <v>876</v>
      </c>
      <c r="C272" s="101">
        <v>54</v>
      </c>
      <c r="D272" s="101" t="s">
        <v>1024</v>
      </c>
      <c r="E272" s="101">
        <v>0</v>
      </c>
      <c r="F272" s="101" t="s">
        <v>426</v>
      </c>
      <c r="G272" s="44" t="s">
        <v>859</v>
      </c>
      <c r="H272" s="15">
        <v>43525</v>
      </c>
      <c r="I272" s="15">
        <v>43830</v>
      </c>
      <c r="J272" s="68" t="s">
        <v>345</v>
      </c>
      <c r="K272" s="177" t="s">
        <v>317</v>
      </c>
      <c r="L272" s="170" t="s">
        <v>860</v>
      </c>
      <c r="M272" s="101" t="s">
        <v>861</v>
      </c>
      <c r="N272" s="101" t="s">
        <v>861</v>
      </c>
      <c r="O272" s="100" t="str">
        <f>IFERROR((0/0),"No aplica")</f>
        <v>No aplica</v>
      </c>
      <c r="P272" s="100">
        <f>IFERROR((0/5),"No aplica")</f>
        <v>0</v>
      </c>
      <c r="Q272" s="101" t="s">
        <v>457</v>
      </c>
      <c r="R272" s="103" t="s">
        <v>862</v>
      </c>
      <c r="S272" s="103" t="s">
        <v>880</v>
      </c>
      <c r="T272" s="110" t="s">
        <v>860</v>
      </c>
      <c r="U272" s="101" t="s">
        <v>861</v>
      </c>
      <c r="V272" s="101" t="s">
        <v>861</v>
      </c>
      <c r="W272" s="100" t="str">
        <f>IFERROR((0/0),"No aplica")</f>
        <v>No aplica</v>
      </c>
      <c r="X272" s="100">
        <f>IFERROR((0/5),"No aplica")</f>
        <v>0</v>
      </c>
      <c r="Y272" s="101" t="s">
        <v>457</v>
      </c>
      <c r="Z272" s="103" t="s">
        <v>863</v>
      </c>
      <c r="AA272" s="103" t="s">
        <v>864</v>
      </c>
      <c r="AB272" s="110" t="s">
        <v>860</v>
      </c>
      <c r="AC272" s="101" t="s">
        <v>860</v>
      </c>
      <c r="AD272" s="101" t="s">
        <v>861</v>
      </c>
      <c r="AE272" s="100">
        <f>IFERROR((0/5),"No aplica")</f>
        <v>0</v>
      </c>
      <c r="AF272" s="100">
        <f>IFERROR((0/5),"No aplica")</f>
        <v>0</v>
      </c>
      <c r="AG272" s="101" t="s">
        <v>474</v>
      </c>
      <c r="AH272" s="103" t="s">
        <v>1160</v>
      </c>
      <c r="AI272" s="103" t="s">
        <v>1161</v>
      </c>
      <c r="AJ272" s="110" t="s">
        <v>860</v>
      </c>
      <c r="AK272" s="101" t="s">
        <v>861</v>
      </c>
      <c r="AL272" s="210" t="s">
        <v>860</v>
      </c>
      <c r="AM272" s="100" t="str">
        <f>IFERROR((5/0),"No aplica")</f>
        <v>No aplica</v>
      </c>
      <c r="AN272" s="100">
        <f>IFERROR((5/5),"No aplica")</f>
        <v>1</v>
      </c>
      <c r="AO272" s="101" t="s">
        <v>458</v>
      </c>
      <c r="AP272" s="103" t="s">
        <v>1465</v>
      </c>
      <c r="AQ272" s="103" t="s">
        <v>1395</v>
      </c>
      <c r="AR272" s="206" t="s">
        <v>1396</v>
      </c>
    </row>
    <row r="273" spans="1:44" ht="214.5" customHeight="1" x14ac:dyDescent="0.25">
      <c r="A273" s="156"/>
      <c r="B273" s="110"/>
      <c r="C273" s="101"/>
      <c r="D273" s="101"/>
      <c r="E273" s="101"/>
      <c r="F273" s="101"/>
      <c r="G273" s="44" t="s">
        <v>865</v>
      </c>
      <c r="H273" s="15">
        <v>43556</v>
      </c>
      <c r="I273" s="15">
        <v>43830</v>
      </c>
      <c r="J273" s="68" t="s">
        <v>345</v>
      </c>
      <c r="K273" s="178"/>
      <c r="L273" s="170"/>
      <c r="M273" s="101"/>
      <c r="N273" s="101"/>
      <c r="O273" s="100"/>
      <c r="P273" s="100"/>
      <c r="Q273" s="101"/>
      <c r="R273" s="103"/>
      <c r="S273" s="103"/>
      <c r="T273" s="110"/>
      <c r="U273" s="101"/>
      <c r="V273" s="101"/>
      <c r="W273" s="100"/>
      <c r="X273" s="100"/>
      <c r="Y273" s="101"/>
      <c r="Z273" s="103"/>
      <c r="AA273" s="103"/>
      <c r="AB273" s="110"/>
      <c r="AC273" s="101"/>
      <c r="AD273" s="101"/>
      <c r="AE273" s="100"/>
      <c r="AF273" s="100"/>
      <c r="AG273" s="101"/>
      <c r="AH273" s="103"/>
      <c r="AI273" s="103"/>
      <c r="AJ273" s="110"/>
      <c r="AK273" s="101"/>
      <c r="AL273" s="101"/>
      <c r="AM273" s="100"/>
      <c r="AN273" s="100"/>
      <c r="AO273" s="101"/>
      <c r="AP273" s="103"/>
      <c r="AQ273" s="103"/>
      <c r="AR273" s="208"/>
    </row>
    <row r="274" spans="1:44" ht="94.5" customHeight="1" x14ac:dyDescent="0.25">
      <c r="A274" s="156" t="s">
        <v>99</v>
      </c>
      <c r="B274" s="110" t="s">
        <v>866</v>
      </c>
      <c r="C274" s="101">
        <v>55</v>
      </c>
      <c r="D274" s="101" t="s">
        <v>989</v>
      </c>
      <c r="E274" s="101">
        <v>0</v>
      </c>
      <c r="F274" s="101" t="s">
        <v>382</v>
      </c>
      <c r="G274" s="44" t="s">
        <v>359</v>
      </c>
      <c r="H274" s="15">
        <v>43504</v>
      </c>
      <c r="I274" s="15">
        <v>43708</v>
      </c>
      <c r="J274" s="68" t="s">
        <v>345</v>
      </c>
      <c r="K274" s="183" t="s">
        <v>319</v>
      </c>
      <c r="L274" s="108" t="s">
        <v>357</v>
      </c>
      <c r="M274" s="105" t="s">
        <v>514</v>
      </c>
      <c r="N274" s="105" t="s">
        <v>514</v>
      </c>
      <c r="O274" s="98" t="str">
        <f>IFERROR((0/0),"No aplica")</f>
        <v>No aplica</v>
      </c>
      <c r="P274" s="98">
        <f>IFERROR((0/5),"No aplica")</f>
        <v>0</v>
      </c>
      <c r="Q274" s="105" t="s">
        <v>457</v>
      </c>
      <c r="R274" s="102" t="s">
        <v>515</v>
      </c>
      <c r="S274" s="102" t="s">
        <v>550</v>
      </c>
      <c r="T274" s="106" t="s">
        <v>357</v>
      </c>
      <c r="U274" s="105" t="s">
        <v>514</v>
      </c>
      <c r="V274" s="105" t="s">
        <v>514</v>
      </c>
      <c r="W274" s="98" t="str">
        <f>IFERROR((0/0),"No aplica")</f>
        <v>No aplica</v>
      </c>
      <c r="X274" s="98">
        <f>IFERROR((0/5),"No aplica")</f>
        <v>0</v>
      </c>
      <c r="Y274" s="105" t="s">
        <v>457</v>
      </c>
      <c r="Z274" s="102" t="s">
        <v>614</v>
      </c>
      <c r="AA274" s="102" t="s">
        <v>615</v>
      </c>
      <c r="AB274" s="106" t="s">
        <v>357</v>
      </c>
      <c r="AC274" s="105" t="s">
        <v>1168</v>
      </c>
      <c r="AD274" s="105" t="s">
        <v>514</v>
      </c>
      <c r="AE274" s="98">
        <f>IFERROR((0/5),"No aplica")</f>
        <v>0</v>
      </c>
      <c r="AF274" s="98">
        <f>IFERROR((0/5),"No aplica")</f>
        <v>0</v>
      </c>
      <c r="AG274" s="105" t="s">
        <v>474</v>
      </c>
      <c r="AH274" s="102" t="s">
        <v>1167</v>
      </c>
      <c r="AI274" s="102" t="s">
        <v>1162</v>
      </c>
      <c r="AJ274" s="106" t="s">
        <v>357</v>
      </c>
      <c r="AK274" s="105" t="s">
        <v>514</v>
      </c>
      <c r="AL274" s="209" t="s">
        <v>1397</v>
      </c>
      <c r="AM274" s="98" t="str">
        <f>IFERROR((11/0),"No aplica")</f>
        <v>No aplica</v>
      </c>
      <c r="AN274" s="98">
        <f>IFERROR((11/5),"No aplica")</f>
        <v>2.2000000000000002</v>
      </c>
      <c r="AO274" s="105" t="s">
        <v>468</v>
      </c>
      <c r="AP274" s="102" t="s">
        <v>1460</v>
      </c>
      <c r="AQ274" s="102" t="s">
        <v>1461</v>
      </c>
      <c r="AR274" s="206" t="s">
        <v>1537</v>
      </c>
    </row>
    <row r="275" spans="1:44" ht="94.5" customHeight="1" x14ac:dyDescent="0.25">
      <c r="A275" s="156"/>
      <c r="B275" s="110"/>
      <c r="C275" s="101"/>
      <c r="D275" s="101"/>
      <c r="E275" s="101"/>
      <c r="F275" s="101"/>
      <c r="G275" s="44" t="s">
        <v>360</v>
      </c>
      <c r="H275" s="15">
        <v>43586</v>
      </c>
      <c r="I275" s="15">
        <v>43830</v>
      </c>
      <c r="J275" s="68" t="s">
        <v>345</v>
      </c>
      <c r="K275" s="183"/>
      <c r="L275" s="170"/>
      <c r="M275" s="101"/>
      <c r="N275" s="105"/>
      <c r="O275" s="98"/>
      <c r="P275" s="98"/>
      <c r="Q275" s="105"/>
      <c r="R275" s="103"/>
      <c r="S275" s="103"/>
      <c r="T275" s="110"/>
      <c r="U275" s="101"/>
      <c r="V275" s="105"/>
      <c r="W275" s="98"/>
      <c r="X275" s="98"/>
      <c r="Y275" s="105"/>
      <c r="Z275" s="103"/>
      <c r="AA275" s="103"/>
      <c r="AB275" s="110"/>
      <c r="AC275" s="101"/>
      <c r="AD275" s="105"/>
      <c r="AE275" s="98"/>
      <c r="AF275" s="98"/>
      <c r="AG275" s="105"/>
      <c r="AH275" s="103"/>
      <c r="AI275" s="103"/>
      <c r="AJ275" s="110"/>
      <c r="AK275" s="101"/>
      <c r="AL275" s="105"/>
      <c r="AM275" s="98"/>
      <c r="AN275" s="98"/>
      <c r="AO275" s="105"/>
      <c r="AP275" s="103"/>
      <c r="AQ275" s="103"/>
      <c r="AR275" s="207"/>
    </row>
    <row r="276" spans="1:44" ht="94.5" customHeight="1" x14ac:dyDescent="0.25">
      <c r="A276" s="156"/>
      <c r="B276" s="110"/>
      <c r="C276" s="101"/>
      <c r="D276" s="101"/>
      <c r="E276" s="101"/>
      <c r="F276" s="101"/>
      <c r="G276" s="44" t="s">
        <v>358</v>
      </c>
      <c r="H276" s="15">
        <v>43556</v>
      </c>
      <c r="I276" s="15">
        <v>43677</v>
      </c>
      <c r="J276" s="68" t="s">
        <v>345</v>
      </c>
      <c r="K276" s="183"/>
      <c r="L276" s="170"/>
      <c r="M276" s="101"/>
      <c r="N276" s="105"/>
      <c r="O276" s="98"/>
      <c r="P276" s="98"/>
      <c r="Q276" s="105"/>
      <c r="R276" s="103"/>
      <c r="S276" s="103"/>
      <c r="T276" s="110"/>
      <c r="U276" s="101"/>
      <c r="V276" s="105"/>
      <c r="W276" s="98"/>
      <c r="X276" s="98"/>
      <c r="Y276" s="105"/>
      <c r="Z276" s="103"/>
      <c r="AA276" s="103"/>
      <c r="AB276" s="110"/>
      <c r="AC276" s="101"/>
      <c r="AD276" s="105"/>
      <c r="AE276" s="98"/>
      <c r="AF276" s="98"/>
      <c r="AG276" s="105"/>
      <c r="AH276" s="103"/>
      <c r="AI276" s="103"/>
      <c r="AJ276" s="110"/>
      <c r="AK276" s="101"/>
      <c r="AL276" s="105"/>
      <c r="AM276" s="98"/>
      <c r="AN276" s="98"/>
      <c r="AO276" s="105"/>
      <c r="AP276" s="103"/>
      <c r="AQ276" s="103"/>
      <c r="AR276" s="207"/>
    </row>
    <row r="277" spans="1:44" ht="94.5" customHeight="1" x14ac:dyDescent="0.25">
      <c r="A277" s="156"/>
      <c r="B277" s="110"/>
      <c r="C277" s="101"/>
      <c r="D277" s="101"/>
      <c r="E277" s="101"/>
      <c r="F277" s="101"/>
      <c r="G277" s="44" t="s">
        <v>269</v>
      </c>
      <c r="H277" s="15">
        <v>43739</v>
      </c>
      <c r="I277" s="15">
        <v>43830</v>
      </c>
      <c r="J277" s="68" t="s">
        <v>345</v>
      </c>
      <c r="K277" s="183"/>
      <c r="L277" s="170"/>
      <c r="M277" s="101"/>
      <c r="N277" s="105"/>
      <c r="O277" s="98"/>
      <c r="P277" s="98"/>
      <c r="Q277" s="105"/>
      <c r="R277" s="103"/>
      <c r="S277" s="103"/>
      <c r="T277" s="110"/>
      <c r="U277" s="101"/>
      <c r="V277" s="105"/>
      <c r="W277" s="98"/>
      <c r="X277" s="98"/>
      <c r="Y277" s="105"/>
      <c r="Z277" s="103"/>
      <c r="AA277" s="103"/>
      <c r="AB277" s="110"/>
      <c r="AC277" s="101"/>
      <c r="AD277" s="105"/>
      <c r="AE277" s="98"/>
      <c r="AF277" s="98"/>
      <c r="AG277" s="105"/>
      <c r="AH277" s="103"/>
      <c r="AI277" s="103"/>
      <c r="AJ277" s="110"/>
      <c r="AK277" s="101"/>
      <c r="AL277" s="105"/>
      <c r="AM277" s="98"/>
      <c r="AN277" s="98"/>
      <c r="AO277" s="105"/>
      <c r="AP277" s="103"/>
      <c r="AQ277" s="103"/>
      <c r="AR277" s="208"/>
    </row>
    <row r="278" spans="1:44" ht="81.75" customHeight="1" x14ac:dyDescent="0.25">
      <c r="A278" s="156" t="s">
        <v>99</v>
      </c>
      <c r="B278" s="106" t="s">
        <v>866</v>
      </c>
      <c r="C278" s="105">
        <v>56</v>
      </c>
      <c r="D278" s="105" t="s">
        <v>990</v>
      </c>
      <c r="E278" s="105">
        <v>0</v>
      </c>
      <c r="F278" s="105" t="s">
        <v>361</v>
      </c>
      <c r="G278" s="43" t="s">
        <v>362</v>
      </c>
      <c r="H278" s="15">
        <v>43473</v>
      </c>
      <c r="I278" s="15">
        <v>43830</v>
      </c>
      <c r="J278" s="68" t="s">
        <v>345</v>
      </c>
      <c r="K278" s="183" t="s">
        <v>319</v>
      </c>
      <c r="L278" s="108" t="s">
        <v>723</v>
      </c>
      <c r="M278" s="105" t="s">
        <v>618</v>
      </c>
      <c r="N278" s="105" t="s">
        <v>517</v>
      </c>
      <c r="O278" s="98">
        <f>IFERROR((22/20),"No aplica")</f>
        <v>1.1000000000000001</v>
      </c>
      <c r="P278" s="98">
        <f>IFERROR((22/40),"No aplica")</f>
        <v>0.55000000000000004</v>
      </c>
      <c r="Q278" s="105" t="s">
        <v>458</v>
      </c>
      <c r="R278" s="102" t="s">
        <v>518</v>
      </c>
      <c r="S278" s="102" t="s">
        <v>879</v>
      </c>
      <c r="T278" s="106" t="s">
        <v>723</v>
      </c>
      <c r="U278" s="105" t="s">
        <v>516</v>
      </c>
      <c r="V278" s="105" t="s">
        <v>617</v>
      </c>
      <c r="W278" s="98">
        <f>IFERROR((8/5),"No aplica")</f>
        <v>1.6</v>
      </c>
      <c r="X278" s="98">
        <f>IFERROR(((22+8)/40),"No aplica")</f>
        <v>0.75</v>
      </c>
      <c r="Y278" s="105" t="s">
        <v>458</v>
      </c>
      <c r="Z278" s="102" t="s">
        <v>867</v>
      </c>
      <c r="AA278" s="102" t="s">
        <v>616</v>
      </c>
      <c r="AB278" s="106" t="s">
        <v>723</v>
      </c>
      <c r="AC278" s="105" t="s">
        <v>1169</v>
      </c>
      <c r="AD278" s="105" t="s">
        <v>1170</v>
      </c>
      <c r="AE278" s="98">
        <f>IFERROR((21/10),"No aplica")</f>
        <v>2.1</v>
      </c>
      <c r="AF278" s="98">
        <f>IFERROR(((22+8+21)/40),"No aplica")</f>
        <v>1.2749999999999999</v>
      </c>
      <c r="AG278" s="105" t="s">
        <v>468</v>
      </c>
      <c r="AH278" s="102" t="s">
        <v>1282</v>
      </c>
      <c r="AI278" s="102" t="s">
        <v>1189</v>
      </c>
      <c r="AJ278" s="106" t="s">
        <v>723</v>
      </c>
      <c r="AK278" s="105" t="s">
        <v>516</v>
      </c>
      <c r="AL278" s="105" t="s">
        <v>617</v>
      </c>
      <c r="AM278" s="98">
        <f>IFERROR((8/5),"No aplica")</f>
        <v>1.6</v>
      </c>
      <c r="AN278" s="98">
        <f>IFERROR(((22+8+21+8)/40),"No aplica")</f>
        <v>1.4750000000000001</v>
      </c>
      <c r="AO278" s="105" t="s">
        <v>468</v>
      </c>
      <c r="AP278" s="102" t="s">
        <v>1498</v>
      </c>
      <c r="AQ278" s="102" t="s">
        <v>1462</v>
      </c>
      <c r="AR278" s="206" t="s">
        <v>1468</v>
      </c>
    </row>
    <row r="279" spans="1:44" ht="81.75" customHeight="1" x14ac:dyDescent="0.25">
      <c r="A279" s="156"/>
      <c r="B279" s="106"/>
      <c r="C279" s="105"/>
      <c r="D279" s="105"/>
      <c r="E279" s="105"/>
      <c r="F279" s="105"/>
      <c r="G279" s="43" t="s">
        <v>363</v>
      </c>
      <c r="H279" s="15">
        <v>43475</v>
      </c>
      <c r="I279" s="15">
        <v>43830</v>
      </c>
      <c r="J279" s="68" t="s">
        <v>345</v>
      </c>
      <c r="K279" s="183"/>
      <c r="L279" s="108"/>
      <c r="M279" s="105"/>
      <c r="N279" s="105"/>
      <c r="O279" s="98"/>
      <c r="P279" s="98"/>
      <c r="Q279" s="105"/>
      <c r="R279" s="102"/>
      <c r="S279" s="102"/>
      <c r="T279" s="106"/>
      <c r="U279" s="105"/>
      <c r="V279" s="105"/>
      <c r="W279" s="98"/>
      <c r="X279" s="98"/>
      <c r="Y279" s="105"/>
      <c r="Z279" s="102"/>
      <c r="AA279" s="102"/>
      <c r="AB279" s="106"/>
      <c r="AC279" s="105"/>
      <c r="AD279" s="105"/>
      <c r="AE279" s="98"/>
      <c r="AF279" s="98"/>
      <c r="AG279" s="105"/>
      <c r="AH279" s="102"/>
      <c r="AI279" s="102"/>
      <c r="AJ279" s="106"/>
      <c r="AK279" s="105"/>
      <c r="AL279" s="105"/>
      <c r="AM279" s="98"/>
      <c r="AN279" s="98"/>
      <c r="AO279" s="105"/>
      <c r="AP279" s="102"/>
      <c r="AQ279" s="102"/>
      <c r="AR279" s="207"/>
    </row>
    <row r="280" spans="1:44" ht="81.75" customHeight="1" x14ac:dyDescent="0.25">
      <c r="A280" s="156"/>
      <c r="B280" s="106"/>
      <c r="C280" s="105"/>
      <c r="D280" s="105"/>
      <c r="E280" s="105"/>
      <c r="F280" s="105"/>
      <c r="G280" s="43" t="s">
        <v>364</v>
      </c>
      <c r="H280" s="15">
        <v>43475</v>
      </c>
      <c r="I280" s="15">
        <v>43830</v>
      </c>
      <c r="J280" s="68" t="s">
        <v>345</v>
      </c>
      <c r="K280" s="183"/>
      <c r="L280" s="108"/>
      <c r="M280" s="105"/>
      <c r="N280" s="105"/>
      <c r="O280" s="98"/>
      <c r="P280" s="98"/>
      <c r="Q280" s="105"/>
      <c r="R280" s="102"/>
      <c r="S280" s="102"/>
      <c r="T280" s="106"/>
      <c r="U280" s="105"/>
      <c r="V280" s="105"/>
      <c r="W280" s="98"/>
      <c r="X280" s="98"/>
      <c r="Y280" s="105"/>
      <c r="Z280" s="102"/>
      <c r="AA280" s="102"/>
      <c r="AB280" s="106"/>
      <c r="AC280" s="105"/>
      <c r="AD280" s="105"/>
      <c r="AE280" s="98"/>
      <c r="AF280" s="98"/>
      <c r="AG280" s="105"/>
      <c r="AH280" s="102"/>
      <c r="AI280" s="102"/>
      <c r="AJ280" s="106"/>
      <c r="AK280" s="105"/>
      <c r="AL280" s="105"/>
      <c r="AM280" s="98"/>
      <c r="AN280" s="98"/>
      <c r="AO280" s="105"/>
      <c r="AP280" s="102"/>
      <c r="AQ280" s="102"/>
      <c r="AR280" s="208"/>
    </row>
    <row r="281" spans="1:44" x14ac:dyDescent="0.25">
      <c r="A281" s="92" t="s">
        <v>380</v>
      </c>
      <c r="B281" s="22" t="s">
        <v>380</v>
      </c>
      <c r="C281" s="7"/>
      <c r="D281" s="7" t="s">
        <v>380</v>
      </c>
      <c r="E281" s="7" t="s">
        <v>380</v>
      </c>
      <c r="F281" s="7" t="s">
        <v>380</v>
      </c>
      <c r="G281" s="45" t="s">
        <v>380</v>
      </c>
      <c r="H281" s="7" t="s">
        <v>380</v>
      </c>
      <c r="I281" s="7" t="s">
        <v>380</v>
      </c>
      <c r="J281" s="21" t="s">
        <v>380</v>
      </c>
      <c r="K281" s="29" t="s">
        <v>380</v>
      </c>
      <c r="L281" s="29" t="s">
        <v>380</v>
      </c>
      <c r="M281" s="7" t="s">
        <v>380</v>
      </c>
      <c r="N281" s="7" t="s">
        <v>380</v>
      </c>
      <c r="O281" s="7" t="s">
        <v>380</v>
      </c>
      <c r="P281" s="7" t="s">
        <v>380</v>
      </c>
      <c r="Q281" s="7" t="s">
        <v>380</v>
      </c>
      <c r="R281" s="7" t="s">
        <v>380</v>
      </c>
      <c r="S281" s="7" t="s">
        <v>380</v>
      </c>
      <c r="T281" s="22" t="s">
        <v>380</v>
      </c>
      <c r="U281" s="7" t="s">
        <v>380</v>
      </c>
      <c r="V281" s="7" t="s">
        <v>380</v>
      </c>
      <c r="W281" s="7" t="s">
        <v>380</v>
      </c>
      <c r="X281" s="7" t="s">
        <v>380</v>
      </c>
      <c r="Y281" s="22" t="s">
        <v>380</v>
      </c>
      <c r="Z281" s="81" t="s">
        <v>380</v>
      </c>
      <c r="AA281" s="81" t="s">
        <v>380</v>
      </c>
      <c r="AB281" s="22" t="s">
        <v>380</v>
      </c>
      <c r="AC281" s="7" t="s">
        <v>380</v>
      </c>
      <c r="AD281" s="7" t="s">
        <v>380</v>
      </c>
      <c r="AE281" s="7" t="s">
        <v>380</v>
      </c>
      <c r="AF281" s="71" t="s">
        <v>380</v>
      </c>
      <c r="AG281" s="7" t="s">
        <v>380</v>
      </c>
      <c r="AH281" s="81" t="s">
        <v>380</v>
      </c>
      <c r="AI281" s="81" t="s">
        <v>380</v>
      </c>
      <c r="AJ281" s="22" t="s">
        <v>380</v>
      </c>
      <c r="AK281" s="7" t="s">
        <v>380</v>
      </c>
      <c r="AL281" s="7" t="s">
        <v>380</v>
      </c>
      <c r="AM281" s="7" t="s">
        <v>380</v>
      </c>
      <c r="AN281" s="7" t="s">
        <v>380</v>
      </c>
      <c r="AO281" s="7" t="s">
        <v>380</v>
      </c>
      <c r="AP281" s="81" t="s">
        <v>380</v>
      </c>
      <c r="AQ281" s="81" t="s">
        <v>380</v>
      </c>
      <c r="AR281" s="82" t="s">
        <v>380</v>
      </c>
    </row>
    <row r="282" spans="1:44" ht="55.5" customHeight="1" x14ac:dyDescent="0.25">
      <c r="A282" s="165" t="s">
        <v>97</v>
      </c>
      <c r="B282" s="166" t="s">
        <v>16</v>
      </c>
      <c r="C282" s="159">
        <v>57</v>
      </c>
      <c r="D282" s="159" t="s">
        <v>223</v>
      </c>
      <c r="E282" s="159" t="s">
        <v>351</v>
      </c>
      <c r="F282" s="159" t="s">
        <v>113</v>
      </c>
      <c r="G282" s="59" t="s">
        <v>428</v>
      </c>
      <c r="H282" s="60">
        <v>43466</v>
      </c>
      <c r="I282" s="60">
        <v>43830</v>
      </c>
      <c r="J282" s="61" t="s">
        <v>17</v>
      </c>
      <c r="K282" s="160" t="s">
        <v>326</v>
      </c>
      <c r="L282" s="108" t="s">
        <v>222</v>
      </c>
      <c r="M282" s="105" t="s">
        <v>519</v>
      </c>
      <c r="N282" s="105" t="s">
        <v>521</v>
      </c>
      <c r="O282" s="98">
        <f>IFERROR((0/5),"No aplica")</f>
        <v>0</v>
      </c>
      <c r="P282" s="150">
        <f>IFERROR((0/22),"No aplica")</f>
        <v>0</v>
      </c>
      <c r="Q282" s="99" t="s">
        <v>474</v>
      </c>
      <c r="R282" s="104" t="s">
        <v>520</v>
      </c>
      <c r="S282" s="104" t="s">
        <v>587</v>
      </c>
      <c r="T282" s="106" t="s">
        <v>222</v>
      </c>
      <c r="U282" s="105" t="s">
        <v>621</v>
      </c>
      <c r="V282" s="105" t="s">
        <v>621</v>
      </c>
      <c r="W282" s="116">
        <f>IFERROR((17/17),"No aplica")</f>
        <v>1</v>
      </c>
      <c r="X282" s="116">
        <f>IFERROR(((0+17)/22),"No aplica")</f>
        <v>0.77272727272727271</v>
      </c>
      <c r="Y282" s="99" t="s">
        <v>531</v>
      </c>
      <c r="Z282" s="104" t="s">
        <v>622</v>
      </c>
      <c r="AA282" s="104" t="s">
        <v>623</v>
      </c>
      <c r="AB282" s="106" t="s">
        <v>222</v>
      </c>
      <c r="AC282" s="105" t="s">
        <v>521</v>
      </c>
      <c r="AD282" s="105" t="s">
        <v>521</v>
      </c>
      <c r="AE282" s="116" t="str">
        <f>IFERROR((0/0),"No aplica")</f>
        <v>No aplica</v>
      </c>
      <c r="AF282" s="116">
        <f>IFERROR(((0+17+0)/22),"No aplica")</f>
        <v>0.77272727272727271</v>
      </c>
      <c r="AG282" s="99" t="s">
        <v>531</v>
      </c>
      <c r="AH282" s="104" t="s">
        <v>1105</v>
      </c>
      <c r="AI282" s="104" t="s">
        <v>1106</v>
      </c>
      <c r="AJ282" s="106" t="s">
        <v>222</v>
      </c>
      <c r="AK282" s="105" t="s">
        <v>521</v>
      </c>
      <c r="AL282" s="105" t="s">
        <v>521</v>
      </c>
      <c r="AM282" s="116" t="str">
        <f>IFERROR((0/0),"No aplica")</f>
        <v>No aplica</v>
      </c>
      <c r="AN282" s="116">
        <f>IFERROR(((0+17+0+0)/22),"No aplica")</f>
        <v>0.77272727272727271</v>
      </c>
      <c r="AO282" s="99" t="s">
        <v>531</v>
      </c>
      <c r="AP282" s="104" t="s">
        <v>1538</v>
      </c>
      <c r="AQ282" s="104" t="s">
        <v>1448</v>
      </c>
      <c r="AR282" s="203" t="s">
        <v>1447</v>
      </c>
    </row>
    <row r="283" spans="1:44" ht="55.5" customHeight="1" x14ac:dyDescent="0.25">
      <c r="A283" s="165"/>
      <c r="B283" s="166"/>
      <c r="C283" s="159"/>
      <c r="D283" s="159"/>
      <c r="E283" s="159"/>
      <c r="F283" s="159"/>
      <c r="G283" s="59" t="s">
        <v>114</v>
      </c>
      <c r="H283" s="60">
        <v>43525</v>
      </c>
      <c r="I283" s="60">
        <v>43830</v>
      </c>
      <c r="J283" s="61" t="s">
        <v>17</v>
      </c>
      <c r="K283" s="160"/>
      <c r="L283" s="108"/>
      <c r="M283" s="105"/>
      <c r="N283" s="105"/>
      <c r="O283" s="98"/>
      <c r="P283" s="150"/>
      <c r="Q283" s="99"/>
      <c r="R283" s="104"/>
      <c r="S283" s="104"/>
      <c r="T283" s="106"/>
      <c r="U283" s="105"/>
      <c r="V283" s="105"/>
      <c r="W283" s="116"/>
      <c r="X283" s="116"/>
      <c r="Y283" s="99"/>
      <c r="Z283" s="104"/>
      <c r="AA283" s="104"/>
      <c r="AB283" s="106"/>
      <c r="AC283" s="105"/>
      <c r="AD283" s="105"/>
      <c r="AE283" s="116"/>
      <c r="AF283" s="116"/>
      <c r="AG283" s="99"/>
      <c r="AH283" s="104"/>
      <c r="AI283" s="104"/>
      <c r="AJ283" s="106"/>
      <c r="AK283" s="105"/>
      <c r="AL283" s="105"/>
      <c r="AM283" s="116"/>
      <c r="AN283" s="116"/>
      <c r="AO283" s="99"/>
      <c r="AP283" s="104"/>
      <c r="AQ283" s="104"/>
      <c r="AR283" s="204"/>
    </row>
    <row r="284" spans="1:44" ht="55.5" customHeight="1" x14ac:dyDescent="0.25">
      <c r="A284" s="165"/>
      <c r="B284" s="166"/>
      <c r="C284" s="159"/>
      <c r="D284" s="159"/>
      <c r="E284" s="159"/>
      <c r="F284" s="159"/>
      <c r="G284" s="59" t="s">
        <v>224</v>
      </c>
      <c r="H284" s="60">
        <v>43556</v>
      </c>
      <c r="I284" s="60">
        <v>43830</v>
      </c>
      <c r="J284" s="61" t="s">
        <v>17</v>
      </c>
      <c r="K284" s="160"/>
      <c r="L284" s="108"/>
      <c r="M284" s="105"/>
      <c r="N284" s="105"/>
      <c r="O284" s="98"/>
      <c r="P284" s="150"/>
      <c r="Q284" s="99"/>
      <c r="R284" s="104"/>
      <c r="S284" s="104"/>
      <c r="T284" s="106"/>
      <c r="U284" s="105"/>
      <c r="V284" s="105"/>
      <c r="W284" s="116"/>
      <c r="X284" s="116"/>
      <c r="Y284" s="99"/>
      <c r="Z284" s="104"/>
      <c r="AA284" s="104"/>
      <c r="AB284" s="106"/>
      <c r="AC284" s="105"/>
      <c r="AD284" s="105"/>
      <c r="AE284" s="116"/>
      <c r="AF284" s="116"/>
      <c r="AG284" s="99"/>
      <c r="AH284" s="104"/>
      <c r="AI284" s="104"/>
      <c r="AJ284" s="106"/>
      <c r="AK284" s="105"/>
      <c r="AL284" s="105"/>
      <c r="AM284" s="116"/>
      <c r="AN284" s="116"/>
      <c r="AO284" s="99"/>
      <c r="AP284" s="104"/>
      <c r="AQ284" s="104"/>
      <c r="AR284" s="205"/>
    </row>
    <row r="285" spans="1:44" ht="61.5" customHeight="1" x14ac:dyDescent="0.25">
      <c r="A285" s="147" t="s">
        <v>97</v>
      </c>
      <c r="B285" s="106" t="s">
        <v>16</v>
      </c>
      <c r="C285" s="99">
        <v>58</v>
      </c>
      <c r="D285" s="99" t="s">
        <v>1025</v>
      </c>
      <c r="E285" s="99">
        <v>0</v>
      </c>
      <c r="F285" s="99" t="s">
        <v>115</v>
      </c>
      <c r="G285" s="12" t="s">
        <v>421</v>
      </c>
      <c r="H285" s="14">
        <v>43466</v>
      </c>
      <c r="I285" s="14" t="s">
        <v>116</v>
      </c>
      <c r="J285" s="33" t="s">
        <v>17</v>
      </c>
      <c r="K285" s="153" t="s">
        <v>327</v>
      </c>
      <c r="L285" s="108" t="s">
        <v>630</v>
      </c>
      <c r="M285" s="105" t="s">
        <v>629</v>
      </c>
      <c r="N285" s="105" t="s">
        <v>629</v>
      </c>
      <c r="O285" s="98" t="str">
        <f>IFERROR((0/0),"No aplica")</f>
        <v>No aplica</v>
      </c>
      <c r="P285" s="150">
        <f>IFERROR((0/6),"No aplica")</f>
        <v>0</v>
      </c>
      <c r="Q285" s="99" t="s">
        <v>457</v>
      </c>
      <c r="R285" s="104" t="s">
        <v>522</v>
      </c>
      <c r="S285" s="104" t="s">
        <v>868</v>
      </c>
      <c r="T285" s="106" t="s">
        <v>630</v>
      </c>
      <c r="U285" s="105" t="s">
        <v>628</v>
      </c>
      <c r="V285" s="105" t="s">
        <v>628</v>
      </c>
      <c r="W285" s="98">
        <f>IFERROR((1/1),"No aplica")</f>
        <v>1</v>
      </c>
      <c r="X285" s="98">
        <f>IFERROR((1/4),"No aplica")</f>
        <v>0.25</v>
      </c>
      <c r="Y285" s="99" t="s">
        <v>458</v>
      </c>
      <c r="Z285" s="104" t="s">
        <v>631</v>
      </c>
      <c r="AA285" s="104" t="s">
        <v>632</v>
      </c>
      <c r="AB285" s="106" t="s">
        <v>630</v>
      </c>
      <c r="AC285" s="105" t="s">
        <v>1107</v>
      </c>
      <c r="AD285" s="105" t="s">
        <v>629</v>
      </c>
      <c r="AE285" s="98">
        <f>IFERROR((0/2),"No aplica")</f>
        <v>0</v>
      </c>
      <c r="AF285" s="98">
        <f>IFERROR(((0+1+0)/4),"No aplica")</f>
        <v>0.25</v>
      </c>
      <c r="AG285" s="99" t="s">
        <v>474</v>
      </c>
      <c r="AH285" s="104" t="s">
        <v>1108</v>
      </c>
      <c r="AI285" s="104" t="s">
        <v>1109</v>
      </c>
      <c r="AJ285" s="106" t="s">
        <v>630</v>
      </c>
      <c r="AK285" s="105" t="s">
        <v>628</v>
      </c>
      <c r="AL285" s="105" t="s">
        <v>1107</v>
      </c>
      <c r="AM285" s="98">
        <f>IFERROR((2/1),"No aplica")</f>
        <v>2</v>
      </c>
      <c r="AN285" s="98">
        <f>IFERROR(((0+1+0+2)/4),"No aplica")</f>
        <v>0.75</v>
      </c>
      <c r="AO285" s="99" t="s">
        <v>531</v>
      </c>
      <c r="AP285" s="104" t="s">
        <v>1539</v>
      </c>
      <c r="AQ285" s="104" t="s">
        <v>1540</v>
      </c>
      <c r="AR285" s="203" t="s">
        <v>1541</v>
      </c>
    </row>
    <row r="286" spans="1:44" ht="61.5" customHeight="1" x14ac:dyDescent="0.25">
      <c r="A286" s="147"/>
      <c r="B286" s="106"/>
      <c r="C286" s="99"/>
      <c r="D286" s="99"/>
      <c r="E286" s="99"/>
      <c r="F286" s="99"/>
      <c r="G286" s="12" t="s">
        <v>385</v>
      </c>
      <c r="H286" s="14">
        <v>43497</v>
      </c>
      <c r="I286" s="14">
        <v>43646</v>
      </c>
      <c r="J286" s="33" t="s">
        <v>17</v>
      </c>
      <c r="K286" s="153"/>
      <c r="L286" s="108"/>
      <c r="M286" s="105"/>
      <c r="N286" s="105"/>
      <c r="O286" s="98"/>
      <c r="P286" s="150"/>
      <c r="Q286" s="99"/>
      <c r="R286" s="104"/>
      <c r="S286" s="104"/>
      <c r="T286" s="106"/>
      <c r="U286" s="105"/>
      <c r="V286" s="105"/>
      <c r="W286" s="98"/>
      <c r="X286" s="98"/>
      <c r="Y286" s="99"/>
      <c r="Z286" s="104"/>
      <c r="AA286" s="104"/>
      <c r="AB286" s="106"/>
      <c r="AC286" s="105"/>
      <c r="AD286" s="105"/>
      <c r="AE286" s="98"/>
      <c r="AF286" s="98"/>
      <c r="AG286" s="99"/>
      <c r="AH286" s="104"/>
      <c r="AI286" s="104"/>
      <c r="AJ286" s="106"/>
      <c r="AK286" s="105"/>
      <c r="AL286" s="105"/>
      <c r="AM286" s="98"/>
      <c r="AN286" s="98"/>
      <c r="AO286" s="99"/>
      <c r="AP286" s="104"/>
      <c r="AQ286" s="104"/>
      <c r="AR286" s="204"/>
    </row>
    <row r="287" spans="1:44" ht="61.5" customHeight="1" x14ac:dyDescent="0.25">
      <c r="A287" s="147"/>
      <c r="B287" s="106"/>
      <c r="C287" s="99"/>
      <c r="D287" s="99"/>
      <c r="E287" s="99"/>
      <c r="F287" s="99"/>
      <c r="G287" s="12" t="s">
        <v>724</v>
      </c>
      <c r="H287" s="14">
        <v>43525</v>
      </c>
      <c r="I287" s="14">
        <v>43829</v>
      </c>
      <c r="J287" s="33" t="s">
        <v>17</v>
      </c>
      <c r="K287" s="153"/>
      <c r="L287" s="108"/>
      <c r="M287" s="105"/>
      <c r="N287" s="105"/>
      <c r="O287" s="98"/>
      <c r="P287" s="150"/>
      <c r="Q287" s="99"/>
      <c r="R287" s="104"/>
      <c r="S287" s="104"/>
      <c r="T287" s="106"/>
      <c r="U287" s="105"/>
      <c r="V287" s="105"/>
      <c r="W287" s="98"/>
      <c r="X287" s="98"/>
      <c r="Y287" s="99"/>
      <c r="Z287" s="104"/>
      <c r="AA287" s="104"/>
      <c r="AB287" s="106"/>
      <c r="AC287" s="105"/>
      <c r="AD287" s="105"/>
      <c r="AE287" s="98"/>
      <c r="AF287" s="98"/>
      <c r="AG287" s="99"/>
      <c r="AH287" s="104"/>
      <c r="AI287" s="104"/>
      <c r="AJ287" s="106"/>
      <c r="AK287" s="105"/>
      <c r="AL287" s="105"/>
      <c r="AM287" s="98"/>
      <c r="AN287" s="98"/>
      <c r="AO287" s="99"/>
      <c r="AP287" s="104"/>
      <c r="AQ287" s="104"/>
      <c r="AR287" s="205"/>
    </row>
    <row r="288" spans="1:44" ht="61.5" customHeight="1" x14ac:dyDescent="0.25">
      <c r="A288" s="147" t="s">
        <v>97</v>
      </c>
      <c r="B288" s="148" t="s">
        <v>18</v>
      </c>
      <c r="C288" s="99">
        <v>59</v>
      </c>
      <c r="D288" s="99" t="s">
        <v>112</v>
      </c>
      <c r="E288" s="99" t="s">
        <v>429</v>
      </c>
      <c r="F288" s="99" t="s">
        <v>214</v>
      </c>
      <c r="G288" s="12" t="s">
        <v>118</v>
      </c>
      <c r="H288" s="14">
        <v>43466</v>
      </c>
      <c r="I288" s="14">
        <v>43830</v>
      </c>
      <c r="J288" s="33" t="s">
        <v>17</v>
      </c>
      <c r="K288" s="153" t="s">
        <v>329</v>
      </c>
      <c r="L288" s="108" t="s">
        <v>117</v>
      </c>
      <c r="M288" s="105" t="s">
        <v>523</v>
      </c>
      <c r="N288" s="105" t="s">
        <v>523</v>
      </c>
      <c r="O288" s="98">
        <f>IFERROR((100%/100%),"No aplica")</f>
        <v>1</v>
      </c>
      <c r="P288" s="117" t="s">
        <v>469</v>
      </c>
      <c r="Q288" s="99" t="s">
        <v>458</v>
      </c>
      <c r="R288" s="104" t="s">
        <v>547</v>
      </c>
      <c r="S288" s="104" t="s">
        <v>576</v>
      </c>
      <c r="T288" s="106" t="s">
        <v>117</v>
      </c>
      <c r="U288" s="105" t="s">
        <v>523</v>
      </c>
      <c r="V288" s="105" t="s">
        <v>523</v>
      </c>
      <c r="W288" s="98">
        <f>IFERROR((51/51),"No aplica")</f>
        <v>1</v>
      </c>
      <c r="X288" s="117" t="s">
        <v>469</v>
      </c>
      <c r="Y288" s="99" t="s">
        <v>458</v>
      </c>
      <c r="Z288" s="104" t="s">
        <v>694</v>
      </c>
      <c r="AA288" s="104" t="s">
        <v>633</v>
      </c>
      <c r="AB288" s="106" t="s">
        <v>117</v>
      </c>
      <c r="AC288" s="105" t="s">
        <v>523</v>
      </c>
      <c r="AD288" s="105" t="s">
        <v>523</v>
      </c>
      <c r="AE288" s="98">
        <f>IFERROR((100/100),"No aplica")</f>
        <v>1</v>
      </c>
      <c r="AF288" s="117" t="s">
        <v>469</v>
      </c>
      <c r="AG288" s="99" t="s">
        <v>458</v>
      </c>
      <c r="AH288" s="104" t="s">
        <v>1110</v>
      </c>
      <c r="AI288" s="104" t="s">
        <v>1111</v>
      </c>
      <c r="AJ288" s="106" t="s">
        <v>117</v>
      </c>
      <c r="AK288" s="105" t="s">
        <v>523</v>
      </c>
      <c r="AL288" s="105" t="s">
        <v>523</v>
      </c>
      <c r="AM288" s="98">
        <f>IFERROR((100/100),"No aplica")</f>
        <v>1</v>
      </c>
      <c r="AN288" s="117" t="s">
        <v>469</v>
      </c>
      <c r="AO288" s="99" t="s">
        <v>458</v>
      </c>
      <c r="AP288" s="104" t="s">
        <v>1542</v>
      </c>
      <c r="AQ288" s="104" t="s">
        <v>1449</v>
      </c>
      <c r="AR288" s="203" t="s">
        <v>1543</v>
      </c>
    </row>
    <row r="289" spans="1:44" ht="61.5" customHeight="1" x14ac:dyDescent="0.25">
      <c r="A289" s="147"/>
      <c r="B289" s="148"/>
      <c r="C289" s="99"/>
      <c r="D289" s="99"/>
      <c r="E289" s="99"/>
      <c r="F289" s="99"/>
      <c r="G289" s="12" t="s">
        <v>430</v>
      </c>
      <c r="H289" s="14">
        <v>43466</v>
      </c>
      <c r="I289" s="14">
        <v>43830</v>
      </c>
      <c r="J289" s="33" t="s">
        <v>17</v>
      </c>
      <c r="K289" s="153"/>
      <c r="L289" s="108"/>
      <c r="M289" s="105"/>
      <c r="N289" s="105"/>
      <c r="O289" s="98"/>
      <c r="P289" s="117"/>
      <c r="Q289" s="99"/>
      <c r="R289" s="104"/>
      <c r="S289" s="104"/>
      <c r="T289" s="106"/>
      <c r="U289" s="105"/>
      <c r="V289" s="105"/>
      <c r="W289" s="98"/>
      <c r="X289" s="98"/>
      <c r="Y289" s="99"/>
      <c r="Z289" s="104"/>
      <c r="AA289" s="104"/>
      <c r="AB289" s="106"/>
      <c r="AC289" s="105"/>
      <c r="AD289" s="105"/>
      <c r="AE289" s="98"/>
      <c r="AF289" s="98"/>
      <c r="AG289" s="99"/>
      <c r="AH289" s="104"/>
      <c r="AI289" s="104"/>
      <c r="AJ289" s="106"/>
      <c r="AK289" s="105"/>
      <c r="AL289" s="105"/>
      <c r="AM289" s="98"/>
      <c r="AN289" s="117"/>
      <c r="AO289" s="99"/>
      <c r="AP289" s="104"/>
      <c r="AQ289" s="104"/>
      <c r="AR289" s="204"/>
    </row>
    <row r="290" spans="1:44" ht="61.5" customHeight="1" x14ac:dyDescent="0.25">
      <c r="A290" s="147"/>
      <c r="B290" s="148"/>
      <c r="C290" s="99"/>
      <c r="D290" s="99"/>
      <c r="E290" s="99"/>
      <c r="F290" s="99"/>
      <c r="G290" s="12" t="s">
        <v>119</v>
      </c>
      <c r="H290" s="14">
        <v>43466</v>
      </c>
      <c r="I290" s="14">
        <v>43830</v>
      </c>
      <c r="J290" s="33" t="s">
        <v>17</v>
      </c>
      <c r="K290" s="153"/>
      <c r="L290" s="108"/>
      <c r="M290" s="105"/>
      <c r="N290" s="105"/>
      <c r="O290" s="98"/>
      <c r="P290" s="117"/>
      <c r="Q290" s="99"/>
      <c r="R290" s="104"/>
      <c r="S290" s="104"/>
      <c r="T290" s="106"/>
      <c r="U290" s="105"/>
      <c r="V290" s="105"/>
      <c r="W290" s="98"/>
      <c r="X290" s="98"/>
      <c r="Y290" s="99"/>
      <c r="Z290" s="104"/>
      <c r="AA290" s="104"/>
      <c r="AB290" s="106"/>
      <c r="AC290" s="105"/>
      <c r="AD290" s="105"/>
      <c r="AE290" s="98"/>
      <c r="AF290" s="98"/>
      <c r="AG290" s="99"/>
      <c r="AH290" s="104"/>
      <c r="AI290" s="104"/>
      <c r="AJ290" s="106"/>
      <c r="AK290" s="105"/>
      <c r="AL290" s="105"/>
      <c r="AM290" s="98"/>
      <c r="AN290" s="117"/>
      <c r="AO290" s="99"/>
      <c r="AP290" s="104"/>
      <c r="AQ290" s="104"/>
      <c r="AR290" s="205"/>
    </row>
    <row r="291" spans="1:44" ht="61.5" customHeight="1" x14ac:dyDescent="0.25">
      <c r="A291" s="147" t="s">
        <v>97</v>
      </c>
      <c r="B291" s="148" t="s">
        <v>19</v>
      </c>
      <c r="C291" s="99">
        <v>60</v>
      </c>
      <c r="D291" s="99" t="s">
        <v>20</v>
      </c>
      <c r="E291" s="99" t="s">
        <v>352</v>
      </c>
      <c r="F291" s="99" t="s">
        <v>120</v>
      </c>
      <c r="G291" s="12" t="s">
        <v>121</v>
      </c>
      <c r="H291" s="14">
        <v>43466</v>
      </c>
      <c r="I291" s="14">
        <v>43496</v>
      </c>
      <c r="J291" s="33" t="s">
        <v>17</v>
      </c>
      <c r="K291" s="153" t="s">
        <v>328</v>
      </c>
      <c r="L291" s="108" t="s">
        <v>21</v>
      </c>
      <c r="M291" s="105" t="s">
        <v>524</v>
      </c>
      <c r="N291" s="105" t="s">
        <v>525</v>
      </c>
      <c r="O291" s="115">
        <f>IFERROR((4.9%/22.5%),"No aplica")</f>
        <v>0.21777777777777779</v>
      </c>
      <c r="P291" s="184">
        <f>IFERROR((4.9%/90%),"No aplica")</f>
        <v>5.4444444444444448E-2</v>
      </c>
      <c r="Q291" s="99" t="s">
        <v>474</v>
      </c>
      <c r="R291" s="104" t="s">
        <v>526</v>
      </c>
      <c r="S291" s="104" t="s">
        <v>598</v>
      </c>
      <c r="T291" s="106" t="s">
        <v>21</v>
      </c>
      <c r="U291" s="105" t="s">
        <v>634</v>
      </c>
      <c r="V291" s="105" t="s">
        <v>635</v>
      </c>
      <c r="W291" s="115">
        <f>IFERROR((12.2%/45%),"No aplica")</f>
        <v>0.27111111111111108</v>
      </c>
      <c r="X291" s="115">
        <f>IFERROR((12.2%/90%),"No aplica")</f>
        <v>0.13555555555555554</v>
      </c>
      <c r="Y291" s="99" t="s">
        <v>474</v>
      </c>
      <c r="Z291" s="104" t="s">
        <v>869</v>
      </c>
      <c r="AA291" s="104" t="s">
        <v>870</v>
      </c>
      <c r="AB291" s="106" t="s">
        <v>21</v>
      </c>
      <c r="AC291" s="105" t="s">
        <v>1112</v>
      </c>
      <c r="AD291" s="105" t="s">
        <v>1113</v>
      </c>
      <c r="AE291" s="115">
        <f>IFERROR((23.6%/67.5%),"No aplica")</f>
        <v>0.34962962962962962</v>
      </c>
      <c r="AF291" s="115">
        <f>IFERROR((23.6%/90%),"No aplica")</f>
        <v>0.26222222222222225</v>
      </c>
      <c r="AG291" s="99" t="s">
        <v>474</v>
      </c>
      <c r="AH291" s="104" t="s">
        <v>1114</v>
      </c>
      <c r="AI291" s="104" t="s">
        <v>1115</v>
      </c>
      <c r="AJ291" s="106" t="s">
        <v>21</v>
      </c>
      <c r="AK291" s="105" t="s">
        <v>1398</v>
      </c>
      <c r="AL291" s="105" t="s">
        <v>1452</v>
      </c>
      <c r="AM291" s="116">
        <f>IFERROR((40012602933.79/63050561303),"No aplica")</f>
        <v>0.63461136755789938</v>
      </c>
      <c r="AN291" s="116">
        <f>IFERROR((40012602933.79/63050561303),"No aplica")</f>
        <v>0.63461136755789938</v>
      </c>
      <c r="AO291" s="99" t="s">
        <v>474</v>
      </c>
      <c r="AP291" s="104" t="s">
        <v>1544</v>
      </c>
      <c r="AQ291" s="104" t="s">
        <v>1450</v>
      </c>
      <c r="AR291" s="203" t="s">
        <v>1451</v>
      </c>
    </row>
    <row r="292" spans="1:44" ht="61.5" customHeight="1" x14ac:dyDescent="0.25">
      <c r="A292" s="147"/>
      <c r="B292" s="148"/>
      <c r="C292" s="99"/>
      <c r="D292" s="99"/>
      <c r="E292" s="99"/>
      <c r="F292" s="99"/>
      <c r="G292" s="12" t="s">
        <v>122</v>
      </c>
      <c r="H292" s="14">
        <v>43497</v>
      </c>
      <c r="I292" s="14">
        <v>43511</v>
      </c>
      <c r="J292" s="33" t="s">
        <v>17</v>
      </c>
      <c r="K292" s="153"/>
      <c r="L292" s="108"/>
      <c r="M292" s="105"/>
      <c r="N292" s="105"/>
      <c r="O292" s="115"/>
      <c r="P292" s="184"/>
      <c r="Q292" s="99"/>
      <c r="R292" s="104"/>
      <c r="S292" s="104"/>
      <c r="T292" s="106"/>
      <c r="U292" s="105"/>
      <c r="V292" s="105"/>
      <c r="W292" s="115"/>
      <c r="X292" s="115"/>
      <c r="Y292" s="99"/>
      <c r="Z292" s="104"/>
      <c r="AA292" s="104"/>
      <c r="AB292" s="106"/>
      <c r="AC292" s="105"/>
      <c r="AD292" s="105"/>
      <c r="AE292" s="115"/>
      <c r="AF292" s="115"/>
      <c r="AG292" s="99"/>
      <c r="AH292" s="104"/>
      <c r="AI292" s="104"/>
      <c r="AJ292" s="106"/>
      <c r="AK292" s="105"/>
      <c r="AL292" s="105"/>
      <c r="AM292" s="116"/>
      <c r="AN292" s="116"/>
      <c r="AO292" s="99"/>
      <c r="AP292" s="104"/>
      <c r="AQ292" s="104"/>
      <c r="AR292" s="204"/>
    </row>
    <row r="293" spans="1:44" s="11" customFormat="1" ht="61.5" customHeight="1" x14ac:dyDescent="0.25">
      <c r="A293" s="147"/>
      <c r="B293" s="148"/>
      <c r="C293" s="99"/>
      <c r="D293" s="99"/>
      <c r="E293" s="99"/>
      <c r="F293" s="99"/>
      <c r="G293" s="12" t="s">
        <v>123</v>
      </c>
      <c r="H293" s="14">
        <v>43511</v>
      </c>
      <c r="I293" s="14">
        <v>43830</v>
      </c>
      <c r="J293" s="33" t="s">
        <v>17</v>
      </c>
      <c r="K293" s="153"/>
      <c r="L293" s="108"/>
      <c r="M293" s="105"/>
      <c r="N293" s="105"/>
      <c r="O293" s="115"/>
      <c r="P293" s="184"/>
      <c r="Q293" s="99"/>
      <c r="R293" s="104"/>
      <c r="S293" s="104"/>
      <c r="T293" s="106"/>
      <c r="U293" s="105"/>
      <c r="V293" s="105"/>
      <c r="W293" s="115"/>
      <c r="X293" s="115"/>
      <c r="Y293" s="99"/>
      <c r="Z293" s="104"/>
      <c r="AA293" s="104"/>
      <c r="AB293" s="106"/>
      <c r="AC293" s="105"/>
      <c r="AD293" s="105"/>
      <c r="AE293" s="115"/>
      <c r="AF293" s="115"/>
      <c r="AG293" s="99"/>
      <c r="AH293" s="104"/>
      <c r="AI293" s="104"/>
      <c r="AJ293" s="106"/>
      <c r="AK293" s="105"/>
      <c r="AL293" s="105"/>
      <c r="AM293" s="116"/>
      <c r="AN293" s="116"/>
      <c r="AO293" s="99"/>
      <c r="AP293" s="104"/>
      <c r="AQ293" s="104"/>
      <c r="AR293" s="205"/>
    </row>
    <row r="294" spans="1:44" x14ac:dyDescent="0.25">
      <c r="A294" s="92" t="s">
        <v>380</v>
      </c>
      <c r="B294" s="22" t="s">
        <v>380</v>
      </c>
      <c r="C294" s="7"/>
      <c r="D294" s="7" t="s">
        <v>380</v>
      </c>
      <c r="E294" s="7" t="s">
        <v>380</v>
      </c>
      <c r="F294" s="7" t="s">
        <v>380</v>
      </c>
      <c r="G294" s="45" t="s">
        <v>380</v>
      </c>
      <c r="H294" s="7" t="s">
        <v>380</v>
      </c>
      <c r="I294" s="7" t="s">
        <v>380</v>
      </c>
      <c r="J294" s="21" t="s">
        <v>380</v>
      </c>
      <c r="K294" s="29" t="s">
        <v>380</v>
      </c>
      <c r="L294" s="29" t="s">
        <v>380</v>
      </c>
      <c r="M294" s="7" t="s">
        <v>380</v>
      </c>
      <c r="N294" s="7" t="s">
        <v>380</v>
      </c>
      <c r="O294" s="7" t="s">
        <v>380</v>
      </c>
      <c r="P294" s="7" t="s">
        <v>380</v>
      </c>
      <c r="Q294" s="7" t="s">
        <v>380</v>
      </c>
      <c r="R294" s="7" t="s">
        <v>380</v>
      </c>
      <c r="S294" s="7" t="s">
        <v>380</v>
      </c>
      <c r="T294" s="22" t="s">
        <v>380</v>
      </c>
      <c r="U294" s="7" t="s">
        <v>380</v>
      </c>
      <c r="V294" s="7" t="s">
        <v>380</v>
      </c>
      <c r="W294" s="7" t="s">
        <v>380</v>
      </c>
      <c r="X294" s="7" t="s">
        <v>380</v>
      </c>
      <c r="Y294" s="22" t="s">
        <v>380</v>
      </c>
      <c r="Z294" s="81" t="s">
        <v>380</v>
      </c>
      <c r="AA294" s="81" t="s">
        <v>380</v>
      </c>
      <c r="AB294" s="22" t="s">
        <v>380</v>
      </c>
      <c r="AC294" s="7" t="s">
        <v>380</v>
      </c>
      <c r="AD294" s="7" t="s">
        <v>380</v>
      </c>
      <c r="AE294" s="7" t="s">
        <v>380</v>
      </c>
      <c r="AF294" s="71" t="s">
        <v>380</v>
      </c>
      <c r="AG294" s="7" t="s">
        <v>380</v>
      </c>
      <c r="AH294" s="81" t="s">
        <v>380</v>
      </c>
      <c r="AI294" s="81" t="s">
        <v>380</v>
      </c>
      <c r="AJ294" s="22" t="s">
        <v>380</v>
      </c>
      <c r="AK294" s="7" t="s">
        <v>380</v>
      </c>
      <c r="AL294" s="7" t="s">
        <v>380</v>
      </c>
      <c r="AM294" s="7" t="s">
        <v>380</v>
      </c>
      <c r="AN294" s="7" t="s">
        <v>380</v>
      </c>
      <c r="AO294" s="7" t="s">
        <v>380</v>
      </c>
      <c r="AP294" s="81" t="s">
        <v>380</v>
      </c>
      <c r="AQ294" s="81" t="s">
        <v>380</v>
      </c>
      <c r="AR294" s="82" t="s">
        <v>380</v>
      </c>
    </row>
    <row r="295" spans="1:44" ht="31.5" x14ac:dyDescent="0.25">
      <c r="A295" s="156" t="s">
        <v>97</v>
      </c>
      <c r="B295" s="106" t="s">
        <v>127</v>
      </c>
      <c r="C295" s="105">
        <v>61</v>
      </c>
      <c r="D295" s="105" t="s">
        <v>124</v>
      </c>
      <c r="E295" s="105">
        <v>0</v>
      </c>
      <c r="F295" s="105" t="s">
        <v>307</v>
      </c>
      <c r="G295" s="43" t="s">
        <v>270</v>
      </c>
      <c r="H295" s="15">
        <v>43467</v>
      </c>
      <c r="I295" s="15">
        <v>43524</v>
      </c>
      <c r="J295" s="68" t="s">
        <v>12</v>
      </c>
      <c r="K295" s="108" t="s">
        <v>328</v>
      </c>
      <c r="L295" s="108" t="s">
        <v>444</v>
      </c>
      <c r="M295" s="105" t="s">
        <v>527</v>
      </c>
      <c r="N295" s="105" t="s">
        <v>697</v>
      </c>
      <c r="O295" s="116">
        <f>100%-(162890311/4194717349)</f>
        <v>0.96116775042331937</v>
      </c>
      <c r="P295" s="117" t="s">
        <v>469</v>
      </c>
      <c r="Q295" s="105" t="s">
        <v>458</v>
      </c>
      <c r="R295" s="102" t="s">
        <v>548</v>
      </c>
      <c r="S295" s="102" t="s">
        <v>528</v>
      </c>
      <c r="T295" s="106" t="s">
        <v>444</v>
      </c>
      <c r="U295" s="105" t="s">
        <v>527</v>
      </c>
      <c r="V295" s="105" t="s">
        <v>696</v>
      </c>
      <c r="W295" s="116">
        <f>100%-(635529588/6343349978)</f>
        <v>0.89981167833965603</v>
      </c>
      <c r="X295" s="117" t="s">
        <v>469</v>
      </c>
      <c r="Y295" s="105" t="s">
        <v>474</v>
      </c>
      <c r="Z295" s="102" t="s">
        <v>800</v>
      </c>
      <c r="AA295" s="102" t="s">
        <v>801</v>
      </c>
      <c r="AB295" s="106" t="s">
        <v>444</v>
      </c>
      <c r="AC295" s="105" t="s">
        <v>527</v>
      </c>
      <c r="AD295" s="105" t="s">
        <v>1116</v>
      </c>
      <c r="AE295" s="116">
        <f>100%-(209430704/9479302620)</f>
        <v>0.97790652831800828</v>
      </c>
      <c r="AF295" s="117" t="s">
        <v>469</v>
      </c>
      <c r="AG295" s="105" t="s">
        <v>458</v>
      </c>
      <c r="AH295" s="102" t="s">
        <v>1117</v>
      </c>
      <c r="AI295" s="102" t="s">
        <v>1118</v>
      </c>
      <c r="AJ295" s="106" t="s">
        <v>444</v>
      </c>
      <c r="AK295" s="105" t="s">
        <v>527</v>
      </c>
      <c r="AL295" s="105" t="s">
        <v>1399</v>
      </c>
      <c r="AM295" s="116">
        <f>100%-(1781588599/22191348940)</f>
        <v>0.91971697602444169</v>
      </c>
      <c r="AN295" s="117" t="s">
        <v>469</v>
      </c>
      <c r="AO295" s="105" t="s">
        <v>474</v>
      </c>
      <c r="AP295" s="102" t="s">
        <v>1443</v>
      </c>
      <c r="AQ295" s="102" t="s">
        <v>1545</v>
      </c>
      <c r="AR295" s="206" t="s">
        <v>1444</v>
      </c>
    </row>
    <row r="296" spans="1:44" ht="31.5" x14ac:dyDescent="0.25">
      <c r="A296" s="156"/>
      <c r="B296" s="106"/>
      <c r="C296" s="105"/>
      <c r="D296" s="105"/>
      <c r="E296" s="105"/>
      <c r="F296" s="105"/>
      <c r="G296" s="43" t="s">
        <v>431</v>
      </c>
      <c r="H296" s="15">
        <v>43525</v>
      </c>
      <c r="I296" s="15">
        <v>43769</v>
      </c>
      <c r="J296" s="68" t="s">
        <v>12</v>
      </c>
      <c r="K296" s="108"/>
      <c r="L296" s="108"/>
      <c r="M296" s="105"/>
      <c r="N296" s="105"/>
      <c r="O296" s="116"/>
      <c r="P296" s="117"/>
      <c r="Q296" s="105"/>
      <c r="R296" s="102"/>
      <c r="S296" s="102"/>
      <c r="T296" s="106"/>
      <c r="U296" s="105"/>
      <c r="V296" s="105"/>
      <c r="W296" s="116"/>
      <c r="X296" s="98"/>
      <c r="Y296" s="105"/>
      <c r="Z296" s="102"/>
      <c r="AA296" s="102"/>
      <c r="AB296" s="106"/>
      <c r="AC296" s="105"/>
      <c r="AD296" s="105"/>
      <c r="AE296" s="116"/>
      <c r="AF296" s="98"/>
      <c r="AG296" s="105"/>
      <c r="AH296" s="102"/>
      <c r="AI296" s="102"/>
      <c r="AJ296" s="106"/>
      <c r="AK296" s="105"/>
      <c r="AL296" s="105"/>
      <c r="AM296" s="116"/>
      <c r="AN296" s="117"/>
      <c r="AO296" s="105"/>
      <c r="AP296" s="102"/>
      <c r="AQ296" s="102"/>
      <c r="AR296" s="207"/>
    </row>
    <row r="297" spans="1:44" ht="47.25" x14ac:dyDescent="0.25">
      <c r="A297" s="156"/>
      <c r="B297" s="106"/>
      <c r="C297" s="105"/>
      <c r="D297" s="105"/>
      <c r="E297" s="105"/>
      <c r="F297" s="105"/>
      <c r="G297" s="43" t="s">
        <v>432</v>
      </c>
      <c r="H297" s="15">
        <v>43556</v>
      </c>
      <c r="I297" s="15">
        <v>43830</v>
      </c>
      <c r="J297" s="68" t="s">
        <v>12</v>
      </c>
      <c r="K297" s="108"/>
      <c r="L297" s="108"/>
      <c r="M297" s="105"/>
      <c r="N297" s="105"/>
      <c r="O297" s="116"/>
      <c r="P297" s="117"/>
      <c r="Q297" s="105"/>
      <c r="R297" s="102"/>
      <c r="S297" s="102"/>
      <c r="T297" s="106"/>
      <c r="U297" s="105"/>
      <c r="V297" s="105"/>
      <c r="W297" s="116"/>
      <c r="X297" s="98"/>
      <c r="Y297" s="105"/>
      <c r="Z297" s="102"/>
      <c r="AA297" s="102"/>
      <c r="AB297" s="106"/>
      <c r="AC297" s="105"/>
      <c r="AD297" s="105"/>
      <c r="AE297" s="116"/>
      <c r="AF297" s="98"/>
      <c r="AG297" s="105"/>
      <c r="AH297" s="102"/>
      <c r="AI297" s="102"/>
      <c r="AJ297" s="106"/>
      <c r="AK297" s="105"/>
      <c r="AL297" s="105"/>
      <c r="AM297" s="116"/>
      <c r="AN297" s="117"/>
      <c r="AO297" s="105"/>
      <c r="AP297" s="102"/>
      <c r="AQ297" s="102"/>
      <c r="AR297" s="207"/>
    </row>
    <row r="298" spans="1:44" ht="31.5" x14ac:dyDescent="0.25">
      <c r="A298" s="156"/>
      <c r="B298" s="106"/>
      <c r="C298" s="105"/>
      <c r="D298" s="105"/>
      <c r="E298" s="105"/>
      <c r="F298" s="105"/>
      <c r="G298" s="43" t="s">
        <v>399</v>
      </c>
      <c r="H298" s="15">
        <v>43770</v>
      </c>
      <c r="I298" s="15">
        <v>43830</v>
      </c>
      <c r="J298" s="68" t="s">
        <v>12</v>
      </c>
      <c r="K298" s="108"/>
      <c r="L298" s="108"/>
      <c r="M298" s="105"/>
      <c r="N298" s="105"/>
      <c r="O298" s="116"/>
      <c r="P298" s="117"/>
      <c r="Q298" s="105"/>
      <c r="R298" s="102"/>
      <c r="S298" s="102"/>
      <c r="T298" s="106"/>
      <c r="U298" s="105"/>
      <c r="V298" s="105"/>
      <c r="W298" s="116"/>
      <c r="X298" s="98"/>
      <c r="Y298" s="105"/>
      <c r="Z298" s="102"/>
      <c r="AA298" s="102"/>
      <c r="AB298" s="106"/>
      <c r="AC298" s="105"/>
      <c r="AD298" s="105"/>
      <c r="AE298" s="116"/>
      <c r="AF298" s="98"/>
      <c r="AG298" s="105"/>
      <c r="AH298" s="102"/>
      <c r="AI298" s="102"/>
      <c r="AJ298" s="106"/>
      <c r="AK298" s="105"/>
      <c r="AL298" s="105"/>
      <c r="AM298" s="116"/>
      <c r="AN298" s="117"/>
      <c r="AO298" s="105"/>
      <c r="AP298" s="102"/>
      <c r="AQ298" s="102"/>
      <c r="AR298" s="208"/>
    </row>
    <row r="299" spans="1:44" ht="175.5" customHeight="1" x14ac:dyDescent="0.25">
      <c r="A299" s="165" t="s">
        <v>97</v>
      </c>
      <c r="B299" s="166" t="s">
        <v>126</v>
      </c>
      <c r="C299" s="159">
        <v>62</v>
      </c>
      <c r="D299" s="159" t="s">
        <v>375</v>
      </c>
      <c r="E299" s="159">
        <v>0</v>
      </c>
      <c r="F299" s="159" t="s">
        <v>74</v>
      </c>
      <c r="G299" s="59" t="s">
        <v>433</v>
      </c>
      <c r="H299" s="60">
        <v>43466</v>
      </c>
      <c r="I299" s="60">
        <v>43524</v>
      </c>
      <c r="J299" s="50" t="s">
        <v>12</v>
      </c>
      <c r="K299" s="160" t="s">
        <v>328</v>
      </c>
      <c r="L299" s="108" t="s">
        <v>376</v>
      </c>
      <c r="M299" s="105" t="s">
        <v>530</v>
      </c>
      <c r="N299" s="105" t="s">
        <v>530</v>
      </c>
      <c r="O299" s="98">
        <f>IFERROR((90%/90%),"No aplica")</f>
        <v>1</v>
      </c>
      <c r="P299" s="117" t="s">
        <v>469</v>
      </c>
      <c r="Q299" s="105" t="s">
        <v>458</v>
      </c>
      <c r="R299" s="102" t="s">
        <v>529</v>
      </c>
      <c r="S299" s="102" t="s">
        <v>549</v>
      </c>
      <c r="T299" s="106" t="s">
        <v>376</v>
      </c>
      <c r="U299" s="105" t="s">
        <v>530</v>
      </c>
      <c r="V299" s="105" t="s">
        <v>802</v>
      </c>
      <c r="W299" s="98">
        <f>IFERROR((100%/90%),"No aplica")</f>
        <v>1.1111111111111112</v>
      </c>
      <c r="X299" s="117" t="s">
        <v>469</v>
      </c>
      <c r="Y299" s="105" t="s">
        <v>468</v>
      </c>
      <c r="Z299" s="102" t="s">
        <v>803</v>
      </c>
      <c r="AA299" s="102" t="s">
        <v>636</v>
      </c>
      <c r="AB299" s="106" t="s">
        <v>376</v>
      </c>
      <c r="AC299" s="105" t="s">
        <v>530</v>
      </c>
      <c r="AD299" s="105" t="s">
        <v>1119</v>
      </c>
      <c r="AE299" s="98">
        <f>IFERROR((92%/90%),"No aplica")</f>
        <v>1.0222222222222221</v>
      </c>
      <c r="AF299" s="117" t="s">
        <v>469</v>
      </c>
      <c r="AG299" s="105" t="s">
        <v>458</v>
      </c>
      <c r="AH299" s="102" t="s">
        <v>1176</v>
      </c>
      <c r="AI299" s="102" t="s">
        <v>1120</v>
      </c>
      <c r="AJ299" s="106" t="s">
        <v>376</v>
      </c>
      <c r="AK299" s="105" t="s">
        <v>530</v>
      </c>
      <c r="AL299" s="105" t="s">
        <v>1400</v>
      </c>
      <c r="AM299" s="98">
        <f>IFERROR((98%/90%),"No aplica")</f>
        <v>1.0888888888888888</v>
      </c>
      <c r="AN299" s="117" t="s">
        <v>469</v>
      </c>
      <c r="AO299" s="105" t="s">
        <v>468</v>
      </c>
      <c r="AP299" s="102" t="s">
        <v>1546</v>
      </c>
      <c r="AQ299" s="102" t="s">
        <v>1446</v>
      </c>
      <c r="AR299" s="206" t="s">
        <v>1547</v>
      </c>
    </row>
    <row r="300" spans="1:44" ht="175.5" customHeight="1" x14ac:dyDescent="0.25">
      <c r="A300" s="165"/>
      <c r="B300" s="166"/>
      <c r="C300" s="159"/>
      <c r="D300" s="159"/>
      <c r="E300" s="159"/>
      <c r="F300" s="159"/>
      <c r="G300" s="59" t="s">
        <v>871</v>
      </c>
      <c r="H300" s="60">
        <v>43466</v>
      </c>
      <c r="I300" s="60">
        <v>43830</v>
      </c>
      <c r="J300" s="50" t="s">
        <v>12</v>
      </c>
      <c r="K300" s="160"/>
      <c r="L300" s="108"/>
      <c r="M300" s="105"/>
      <c r="N300" s="105"/>
      <c r="O300" s="98"/>
      <c r="P300" s="117"/>
      <c r="Q300" s="105"/>
      <c r="R300" s="102"/>
      <c r="S300" s="102"/>
      <c r="T300" s="106"/>
      <c r="U300" s="105"/>
      <c r="V300" s="105"/>
      <c r="W300" s="98"/>
      <c r="X300" s="98"/>
      <c r="Y300" s="105"/>
      <c r="Z300" s="102"/>
      <c r="AA300" s="102"/>
      <c r="AB300" s="106"/>
      <c r="AC300" s="105"/>
      <c r="AD300" s="105"/>
      <c r="AE300" s="98"/>
      <c r="AF300" s="98"/>
      <c r="AG300" s="105"/>
      <c r="AH300" s="102"/>
      <c r="AI300" s="102"/>
      <c r="AJ300" s="106"/>
      <c r="AK300" s="105"/>
      <c r="AL300" s="105"/>
      <c r="AM300" s="98"/>
      <c r="AN300" s="117"/>
      <c r="AO300" s="105"/>
      <c r="AP300" s="102"/>
      <c r="AQ300" s="102"/>
      <c r="AR300" s="208"/>
    </row>
    <row r="301" spans="1:44" ht="69" customHeight="1" x14ac:dyDescent="0.25">
      <c r="A301" s="171" t="s">
        <v>97</v>
      </c>
      <c r="B301" s="110" t="s">
        <v>128</v>
      </c>
      <c r="C301" s="101">
        <v>63</v>
      </c>
      <c r="D301" s="101" t="s">
        <v>377</v>
      </c>
      <c r="E301" s="101">
        <v>0</v>
      </c>
      <c r="F301" s="101" t="s">
        <v>125</v>
      </c>
      <c r="G301" s="44" t="s">
        <v>655</v>
      </c>
      <c r="H301" s="18">
        <v>43466</v>
      </c>
      <c r="I301" s="18">
        <v>43646</v>
      </c>
      <c r="J301" s="68" t="s">
        <v>12</v>
      </c>
      <c r="K301" s="170" t="s">
        <v>330</v>
      </c>
      <c r="L301" s="170" t="s">
        <v>637</v>
      </c>
      <c r="M301" s="101" t="s">
        <v>638</v>
      </c>
      <c r="N301" s="101" t="s">
        <v>638</v>
      </c>
      <c r="O301" s="100">
        <f>IFERROR((5%/5%),"No aplica")</f>
        <v>1</v>
      </c>
      <c r="P301" s="100">
        <f>IFERROR((5%/100%),"No aplica")</f>
        <v>0.05</v>
      </c>
      <c r="Q301" s="101" t="s">
        <v>458</v>
      </c>
      <c r="R301" s="103" t="s">
        <v>577</v>
      </c>
      <c r="S301" s="103" t="s">
        <v>578</v>
      </c>
      <c r="T301" s="110" t="s">
        <v>637</v>
      </c>
      <c r="U301" s="101" t="s">
        <v>639</v>
      </c>
      <c r="V301" s="101" t="s">
        <v>640</v>
      </c>
      <c r="W301" s="100">
        <f>IFERROR((31%/21%),"No aplica")</f>
        <v>1.4761904761904763</v>
      </c>
      <c r="X301" s="100">
        <f>IFERROR(((5%+31%)/100%),"No aplica")</f>
        <v>0.36</v>
      </c>
      <c r="Y301" s="101" t="s">
        <v>458</v>
      </c>
      <c r="Z301" s="103" t="s">
        <v>872</v>
      </c>
      <c r="AA301" s="103" t="s">
        <v>695</v>
      </c>
      <c r="AB301" s="110" t="s">
        <v>637</v>
      </c>
      <c r="AC301" s="101" t="s">
        <v>1121</v>
      </c>
      <c r="AD301" s="101" t="s">
        <v>1177</v>
      </c>
      <c r="AE301" s="100">
        <f>IFERROR((12%/39%),"No aplica")</f>
        <v>0.30769230769230765</v>
      </c>
      <c r="AF301" s="100">
        <f>IFERROR(((5%+31%+12%)/100%),"No aplica")</f>
        <v>0.48</v>
      </c>
      <c r="AG301" s="101" t="s">
        <v>531</v>
      </c>
      <c r="AH301" s="103" t="s">
        <v>1180</v>
      </c>
      <c r="AI301" s="103" t="s">
        <v>1122</v>
      </c>
      <c r="AJ301" s="110" t="s">
        <v>637</v>
      </c>
      <c r="AK301" s="101" t="s">
        <v>1401</v>
      </c>
      <c r="AL301" s="101" t="s">
        <v>1402</v>
      </c>
      <c r="AM301" s="100">
        <f>IFERROR((52%/35%),"No aplica")</f>
        <v>1.4857142857142858</v>
      </c>
      <c r="AN301" s="100">
        <f>IFERROR(((5%+31%+12%+52%)/100%),"No aplica")</f>
        <v>1</v>
      </c>
      <c r="AO301" s="101" t="s">
        <v>458</v>
      </c>
      <c r="AP301" s="103" t="s">
        <v>1548</v>
      </c>
      <c r="AQ301" s="103" t="s">
        <v>1403</v>
      </c>
      <c r="AR301" s="212" t="s">
        <v>1404</v>
      </c>
    </row>
    <row r="302" spans="1:44" ht="69" customHeight="1" x14ac:dyDescent="0.25">
      <c r="A302" s="171"/>
      <c r="B302" s="110"/>
      <c r="C302" s="101"/>
      <c r="D302" s="101"/>
      <c r="E302" s="101"/>
      <c r="F302" s="101"/>
      <c r="G302" s="44" t="s">
        <v>656</v>
      </c>
      <c r="H302" s="18">
        <v>43647</v>
      </c>
      <c r="I302" s="18">
        <v>43676</v>
      </c>
      <c r="J302" s="68" t="s">
        <v>12</v>
      </c>
      <c r="K302" s="170"/>
      <c r="L302" s="170"/>
      <c r="M302" s="101"/>
      <c r="N302" s="101"/>
      <c r="O302" s="100"/>
      <c r="P302" s="100"/>
      <c r="Q302" s="101"/>
      <c r="R302" s="103"/>
      <c r="S302" s="103"/>
      <c r="T302" s="110"/>
      <c r="U302" s="101"/>
      <c r="V302" s="101"/>
      <c r="W302" s="100"/>
      <c r="X302" s="100"/>
      <c r="Y302" s="101"/>
      <c r="Z302" s="103"/>
      <c r="AA302" s="103"/>
      <c r="AB302" s="110"/>
      <c r="AC302" s="101"/>
      <c r="AD302" s="101"/>
      <c r="AE302" s="100"/>
      <c r="AF302" s="100"/>
      <c r="AG302" s="101"/>
      <c r="AH302" s="103"/>
      <c r="AI302" s="103"/>
      <c r="AJ302" s="110"/>
      <c r="AK302" s="101"/>
      <c r="AL302" s="101"/>
      <c r="AM302" s="100"/>
      <c r="AN302" s="100"/>
      <c r="AO302" s="101"/>
      <c r="AP302" s="103"/>
      <c r="AQ302" s="103"/>
      <c r="AR302" s="213"/>
    </row>
    <row r="303" spans="1:44" ht="69" customHeight="1" x14ac:dyDescent="0.25">
      <c r="A303" s="171"/>
      <c r="B303" s="110"/>
      <c r="C303" s="101"/>
      <c r="D303" s="101"/>
      <c r="E303" s="101"/>
      <c r="F303" s="101"/>
      <c r="G303" s="44" t="s">
        <v>657</v>
      </c>
      <c r="H303" s="18">
        <v>43709</v>
      </c>
      <c r="I303" s="18">
        <v>43830</v>
      </c>
      <c r="J303" s="68" t="s">
        <v>12</v>
      </c>
      <c r="K303" s="170"/>
      <c r="L303" s="170"/>
      <c r="M303" s="101"/>
      <c r="N303" s="101"/>
      <c r="O303" s="100"/>
      <c r="P303" s="100"/>
      <c r="Q303" s="101"/>
      <c r="R303" s="103"/>
      <c r="S303" s="103"/>
      <c r="T303" s="110"/>
      <c r="U303" s="101"/>
      <c r="V303" s="101"/>
      <c r="W303" s="100"/>
      <c r="X303" s="100"/>
      <c r="Y303" s="101"/>
      <c r="Z303" s="103"/>
      <c r="AA303" s="103"/>
      <c r="AB303" s="110"/>
      <c r="AC303" s="101"/>
      <c r="AD303" s="101"/>
      <c r="AE303" s="100"/>
      <c r="AF303" s="100"/>
      <c r="AG303" s="101"/>
      <c r="AH303" s="103"/>
      <c r="AI303" s="103"/>
      <c r="AJ303" s="110"/>
      <c r="AK303" s="101"/>
      <c r="AL303" s="101"/>
      <c r="AM303" s="100"/>
      <c r="AN303" s="100"/>
      <c r="AO303" s="101"/>
      <c r="AP303" s="103"/>
      <c r="AQ303" s="103"/>
      <c r="AR303" s="213"/>
    </row>
    <row r="304" spans="1:44" ht="69" customHeight="1" x14ac:dyDescent="0.25">
      <c r="A304" s="171"/>
      <c r="B304" s="110"/>
      <c r="C304" s="101"/>
      <c r="D304" s="101"/>
      <c r="E304" s="101"/>
      <c r="F304" s="101"/>
      <c r="G304" s="44" t="s">
        <v>658</v>
      </c>
      <c r="H304" s="18">
        <v>43466</v>
      </c>
      <c r="I304" s="18">
        <v>43641</v>
      </c>
      <c r="J304" s="68" t="s">
        <v>12</v>
      </c>
      <c r="K304" s="170"/>
      <c r="L304" s="170"/>
      <c r="M304" s="101"/>
      <c r="N304" s="101"/>
      <c r="O304" s="100"/>
      <c r="P304" s="100"/>
      <c r="Q304" s="101"/>
      <c r="R304" s="103"/>
      <c r="S304" s="103"/>
      <c r="T304" s="110"/>
      <c r="U304" s="101"/>
      <c r="V304" s="101"/>
      <c r="W304" s="100"/>
      <c r="X304" s="100"/>
      <c r="Y304" s="101"/>
      <c r="Z304" s="103"/>
      <c r="AA304" s="103"/>
      <c r="AB304" s="110"/>
      <c r="AC304" s="101"/>
      <c r="AD304" s="101"/>
      <c r="AE304" s="100"/>
      <c r="AF304" s="100"/>
      <c r="AG304" s="101"/>
      <c r="AH304" s="103"/>
      <c r="AI304" s="103"/>
      <c r="AJ304" s="110"/>
      <c r="AK304" s="101"/>
      <c r="AL304" s="101"/>
      <c r="AM304" s="100"/>
      <c r="AN304" s="100"/>
      <c r="AO304" s="101"/>
      <c r="AP304" s="103"/>
      <c r="AQ304" s="103"/>
      <c r="AR304" s="213"/>
    </row>
    <row r="305" spans="1:44" ht="69" customHeight="1" x14ac:dyDescent="0.25">
      <c r="A305" s="171"/>
      <c r="B305" s="110"/>
      <c r="C305" s="101"/>
      <c r="D305" s="101"/>
      <c r="E305" s="101"/>
      <c r="F305" s="101"/>
      <c r="G305" s="44" t="s">
        <v>659</v>
      </c>
      <c r="H305" s="18">
        <v>43641</v>
      </c>
      <c r="I305" s="18">
        <v>43708</v>
      </c>
      <c r="J305" s="68" t="s">
        <v>12</v>
      </c>
      <c r="K305" s="170"/>
      <c r="L305" s="170"/>
      <c r="M305" s="101"/>
      <c r="N305" s="101"/>
      <c r="O305" s="100"/>
      <c r="P305" s="100"/>
      <c r="Q305" s="101"/>
      <c r="R305" s="103"/>
      <c r="S305" s="103"/>
      <c r="T305" s="110"/>
      <c r="U305" s="101"/>
      <c r="V305" s="101"/>
      <c r="W305" s="100"/>
      <c r="X305" s="100"/>
      <c r="Y305" s="101"/>
      <c r="Z305" s="103"/>
      <c r="AA305" s="103"/>
      <c r="AB305" s="110"/>
      <c r="AC305" s="101"/>
      <c r="AD305" s="101"/>
      <c r="AE305" s="100"/>
      <c r="AF305" s="100"/>
      <c r="AG305" s="101"/>
      <c r="AH305" s="103"/>
      <c r="AI305" s="103"/>
      <c r="AJ305" s="110"/>
      <c r="AK305" s="101"/>
      <c r="AL305" s="101"/>
      <c r="AM305" s="100"/>
      <c r="AN305" s="100"/>
      <c r="AO305" s="101"/>
      <c r="AP305" s="103"/>
      <c r="AQ305" s="103"/>
      <c r="AR305" s="213"/>
    </row>
    <row r="306" spans="1:44" ht="69" customHeight="1" x14ac:dyDescent="0.25">
      <c r="A306" s="171"/>
      <c r="B306" s="110"/>
      <c r="C306" s="101"/>
      <c r="D306" s="101"/>
      <c r="E306" s="101"/>
      <c r="F306" s="101"/>
      <c r="G306" s="44" t="s">
        <v>379</v>
      </c>
      <c r="H306" s="18">
        <v>43678</v>
      </c>
      <c r="I306" s="18">
        <v>43830</v>
      </c>
      <c r="J306" s="68" t="s">
        <v>12</v>
      </c>
      <c r="K306" s="170"/>
      <c r="L306" s="170"/>
      <c r="M306" s="101"/>
      <c r="N306" s="101"/>
      <c r="O306" s="100"/>
      <c r="P306" s="100"/>
      <c r="Q306" s="101"/>
      <c r="R306" s="103"/>
      <c r="S306" s="103"/>
      <c r="T306" s="110"/>
      <c r="U306" s="101"/>
      <c r="V306" s="101"/>
      <c r="W306" s="100"/>
      <c r="X306" s="100"/>
      <c r="Y306" s="101"/>
      <c r="Z306" s="103"/>
      <c r="AA306" s="103"/>
      <c r="AB306" s="110"/>
      <c r="AC306" s="101"/>
      <c r="AD306" s="101"/>
      <c r="AE306" s="100"/>
      <c r="AF306" s="100"/>
      <c r="AG306" s="101"/>
      <c r="AH306" s="103"/>
      <c r="AI306" s="103"/>
      <c r="AJ306" s="110"/>
      <c r="AK306" s="101"/>
      <c r="AL306" s="101"/>
      <c r="AM306" s="100"/>
      <c r="AN306" s="100"/>
      <c r="AO306" s="101"/>
      <c r="AP306" s="103"/>
      <c r="AQ306" s="103"/>
      <c r="AR306" s="215"/>
    </row>
    <row r="307" spans="1:44" ht="51" customHeight="1" x14ac:dyDescent="0.25">
      <c r="A307" s="187" t="s">
        <v>97</v>
      </c>
      <c r="B307" s="188" t="s">
        <v>403</v>
      </c>
      <c r="C307" s="185">
        <v>64</v>
      </c>
      <c r="D307" s="185" t="s">
        <v>893</v>
      </c>
      <c r="E307" s="185">
        <v>0</v>
      </c>
      <c r="F307" s="185" t="s">
        <v>404</v>
      </c>
      <c r="G307" s="49" t="s">
        <v>271</v>
      </c>
      <c r="H307" s="62">
        <v>43617</v>
      </c>
      <c r="I307" s="62">
        <v>43830</v>
      </c>
      <c r="J307" s="50" t="s">
        <v>12</v>
      </c>
      <c r="K307" s="186" t="s">
        <v>328</v>
      </c>
      <c r="L307" s="170" t="s">
        <v>642</v>
      </c>
      <c r="M307" s="101" t="s">
        <v>643</v>
      </c>
      <c r="N307" s="101" t="s">
        <v>644</v>
      </c>
      <c r="O307" s="100" t="str">
        <f>IFERROR((0%/0%),"No aplica")</f>
        <v>No aplica</v>
      </c>
      <c r="P307" s="100">
        <f>IFERROR((0%/100%),"No aplica")</f>
        <v>0</v>
      </c>
      <c r="Q307" s="101" t="s">
        <v>457</v>
      </c>
      <c r="R307" s="103" t="s">
        <v>485</v>
      </c>
      <c r="S307" s="103" t="s">
        <v>309</v>
      </c>
      <c r="T307" s="110" t="s">
        <v>642</v>
      </c>
      <c r="U307" s="101" t="s">
        <v>645</v>
      </c>
      <c r="V307" s="101" t="s">
        <v>643</v>
      </c>
      <c r="W307" s="100">
        <f>IFERROR((0%/40%),"No aplica")</f>
        <v>0</v>
      </c>
      <c r="X307" s="100">
        <f>IFERROR((0%/100%),"No aplica")</f>
        <v>0</v>
      </c>
      <c r="Y307" s="101" t="s">
        <v>474</v>
      </c>
      <c r="Z307" s="103" t="s">
        <v>641</v>
      </c>
      <c r="AA307" s="103" t="s">
        <v>309</v>
      </c>
      <c r="AB307" s="110" t="s">
        <v>642</v>
      </c>
      <c r="AC307" s="101" t="s">
        <v>1124</v>
      </c>
      <c r="AD307" s="101" t="s">
        <v>1123</v>
      </c>
      <c r="AE307" s="100">
        <f>IFERROR((45%/20%),"No aplica")</f>
        <v>2.25</v>
      </c>
      <c r="AF307" s="100">
        <f>IFERROR(((0%+0%+45%)/100%),"No aplica")</f>
        <v>0.45</v>
      </c>
      <c r="AG307" s="101" t="s">
        <v>531</v>
      </c>
      <c r="AH307" s="103" t="s">
        <v>1178</v>
      </c>
      <c r="AI307" s="103" t="s">
        <v>1125</v>
      </c>
      <c r="AJ307" s="110" t="s">
        <v>642</v>
      </c>
      <c r="AK307" s="101" t="s">
        <v>645</v>
      </c>
      <c r="AL307" s="101" t="s">
        <v>1405</v>
      </c>
      <c r="AM307" s="100">
        <f>IFERROR((55%/40%),"No aplica")</f>
        <v>1.375</v>
      </c>
      <c r="AN307" s="100">
        <f>IFERROR(((0%+0%+45%+55%)/100%),"No aplica")</f>
        <v>1</v>
      </c>
      <c r="AO307" s="101" t="s">
        <v>458</v>
      </c>
      <c r="AP307" s="103" t="s">
        <v>1406</v>
      </c>
      <c r="AQ307" s="103" t="s">
        <v>1407</v>
      </c>
      <c r="AR307" s="212" t="s">
        <v>1445</v>
      </c>
    </row>
    <row r="308" spans="1:44" ht="51" customHeight="1" x14ac:dyDescent="0.25">
      <c r="A308" s="187"/>
      <c r="B308" s="188"/>
      <c r="C308" s="185"/>
      <c r="D308" s="185"/>
      <c r="E308" s="185"/>
      <c r="F308" s="185"/>
      <c r="G308" s="49" t="s">
        <v>378</v>
      </c>
      <c r="H308" s="62">
        <v>43678</v>
      </c>
      <c r="I308" s="62">
        <v>43830</v>
      </c>
      <c r="J308" s="50" t="s">
        <v>12</v>
      </c>
      <c r="K308" s="186"/>
      <c r="L308" s="170"/>
      <c r="M308" s="101"/>
      <c r="N308" s="101"/>
      <c r="O308" s="100"/>
      <c r="P308" s="100"/>
      <c r="Q308" s="101"/>
      <c r="R308" s="103"/>
      <c r="S308" s="103"/>
      <c r="T308" s="110"/>
      <c r="U308" s="101"/>
      <c r="V308" s="101"/>
      <c r="W308" s="100"/>
      <c r="X308" s="100"/>
      <c r="Y308" s="101"/>
      <c r="Z308" s="103"/>
      <c r="AA308" s="103"/>
      <c r="AB308" s="110"/>
      <c r="AC308" s="101"/>
      <c r="AD308" s="101"/>
      <c r="AE308" s="100"/>
      <c r="AF308" s="100"/>
      <c r="AG308" s="101"/>
      <c r="AH308" s="103"/>
      <c r="AI308" s="103"/>
      <c r="AJ308" s="110"/>
      <c r="AK308" s="101"/>
      <c r="AL308" s="101"/>
      <c r="AM308" s="100"/>
      <c r="AN308" s="100"/>
      <c r="AO308" s="101"/>
      <c r="AP308" s="103"/>
      <c r="AQ308" s="103"/>
      <c r="AR308" s="215"/>
    </row>
    <row r="309" spans="1:44" ht="135.75" customHeight="1" x14ac:dyDescent="0.25">
      <c r="A309" s="165" t="s">
        <v>97</v>
      </c>
      <c r="B309" s="166" t="s">
        <v>129</v>
      </c>
      <c r="C309" s="159">
        <v>65</v>
      </c>
      <c r="D309" s="159" t="s">
        <v>647</v>
      </c>
      <c r="E309" s="159">
        <v>0</v>
      </c>
      <c r="F309" s="159" t="s">
        <v>647</v>
      </c>
      <c r="G309" s="59" t="s">
        <v>652</v>
      </c>
      <c r="H309" s="60">
        <v>43647</v>
      </c>
      <c r="I309" s="60">
        <v>43799</v>
      </c>
      <c r="J309" s="50" t="s">
        <v>12</v>
      </c>
      <c r="K309" s="160" t="s">
        <v>331</v>
      </c>
      <c r="L309" s="170" t="s">
        <v>648</v>
      </c>
      <c r="M309" s="101" t="s">
        <v>649</v>
      </c>
      <c r="N309" s="101" t="s">
        <v>650</v>
      </c>
      <c r="O309" s="100">
        <f>IFERROR((23%/6%),"No aplica")</f>
        <v>3.8333333333333335</v>
      </c>
      <c r="P309" s="100">
        <f>IFERROR((23%/100%),"No aplica")</f>
        <v>0.23</v>
      </c>
      <c r="Q309" s="101" t="s">
        <v>458</v>
      </c>
      <c r="R309" s="103" t="s">
        <v>532</v>
      </c>
      <c r="S309" s="103" t="s">
        <v>579</v>
      </c>
      <c r="T309" s="110" t="s">
        <v>648</v>
      </c>
      <c r="U309" s="101" t="s">
        <v>651</v>
      </c>
      <c r="V309" s="101" t="s">
        <v>651</v>
      </c>
      <c r="W309" s="100" t="str">
        <f>IFERROR((0%/0%),"No aplica")</f>
        <v>No aplica</v>
      </c>
      <c r="X309" s="100">
        <f>IFERROR((23%/100%),"No aplica")</f>
        <v>0.23</v>
      </c>
      <c r="Y309" s="101" t="s">
        <v>458</v>
      </c>
      <c r="Z309" s="103" t="s">
        <v>804</v>
      </c>
      <c r="AA309" s="103" t="s">
        <v>646</v>
      </c>
      <c r="AB309" s="110" t="s">
        <v>648</v>
      </c>
      <c r="AC309" s="101" t="s">
        <v>1126</v>
      </c>
      <c r="AD309" s="101" t="s">
        <v>1127</v>
      </c>
      <c r="AE309" s="100">
        <f>IFERROR((40%/54.2%),"No aplica")</f>
        <v>0.73800738007380073</v>
      </c>
      <c r="AF309" s="100">
        <f>IFERROR(((23%+40%)/100%),"No aplica")</f>
        <v>0.63</v>
      </c>
      <c r="AG309" s="101" t="s">
        <v>458</v>
      </c>
      <c r="AH309" s="103" t="s">
        <v>1128</v>
      </c>
      <c r="AI309" s="103" t="s">
        <v>1129</v>
      </c>
      <c r="AJ309" s="110" t="s">
        <v>648</v>
      </c>
      <c r="AK309" s="101" t="s">
        <v>1408</v>
      </c>
      <c r="AL309" s="101" t="s">
        <v>1409</v>
      </c>
      <c r="AM309" s="100">
        <f>IFERROR((31%/39.8%),"No aplica")</f>
        <v>0.77889447236180909</v>
      </c>
      <c r="AN309" s="100">
        <f>IFERROR(((23%+40%+31%)/100%),"No aplica")</f>
        <v>0.94</v>
      </c>
      <c r="AO309" s="101" t="s">
        <v>601</v>
      </c>
      <c r="AP309" s="103" t="s">
        <v>1549</v>
      </c>
      <c r="AQ309" s="103" t="s">
        <v>1410</v>
      </c>
      <c r="AR309" s="212" t="s">
        <v>1411</v>
      </c>
    </row>
    <row r="310" spans="1:44" ht="135.75" customHeight="1" x14ac:dyDescent="0.25">
      <c r="A310" s="165"/>
      <c r="B310" s="166"/>
      <c r="C310" s="159"/>
      <c r="D310" s="159"/>
      <c r="E310" s="159"/>
      <c r="F310" s="159"/>
      <c r="G310" s="59" t="s">
        <v>653</v>
      </c>
      <c r="H310" s="62">
        <v>43709</v>
      </c>
      <c r="I310" s="60">
        <v>43830</v>
      </c>
      <c r="J310" s="50" t="s">
        <v>12</v>
      </c>
      <c r="K310" s="160"/>
      <c r="L310" s="170"/>
      <c r="M310" s="101"/>
      <c r="N310" s="101"/>
      <c r="O310" s="100"/>
      <c r="P310" s="100"/>
      <c r="Q310" s="101"/>
      <c r="R310" s="103"/>
      <c r="S310" s="103"/>
      <c r="T310" s="110"/>
      <c r="U310" s="101"/>
      <c r="V310" s="101"/>
      <c r="W310" s="100"/>
      <c r="X310" s="100"/>
      <c r="Y310" s="101"/>
      <c r="Z310" s="103"/>
      <c r="AA310" s="103"/>
      <c r="AB310" s="110"/>
      <c r="AC310" s="101"/>
      <c r="AD310" s="101"/>
      <c r="AE310" s="100"/>
      <c r="AF310" s="100"/>
      <c r="AG310" s="101"/>
      <c r="AH310" s="103"/>
      <c r="AI310" s="103"/>
      <c r="AJ310" s="110"/>
      <c r="AK310" s="101"/>
      <c r="AL310" s="101"/>
      <c r="AM310" s="100"/>
      <c r="AN310" s="100"/>
      <c r="AO310" s="101"/>
      <c r="AP310" s="103"/>
      <c r="AQ310" s="103"/>
      <c r="AR310" s="213"/>
    </row>
    <row r="311" spans="1:44" ht="135.75" customHeight="1" x14ac:dyDescent="0.25">
      <c r="A311" s="165"/>
      <c r="B311" s="166"/>
      <c r="C311" s="159"/>
      <c r="D311" s="159"/>
      <c r="E311" s="159"/>
      <c r="F311" s="159"/>
      <c r="G311" s="59" t="s">
        <v>654</v>
      </c>
      <c r="H311" s="60">
        <v>43647</v>
      </c>
      <c r="I311" s="60">
        <v>43830</v>
      </c>
      <c r="J311" s="50" t="s">
        <v>12</v>
      </c>
      <c r="K311" s="160"/>
      <c r="L311" s="170"/>
      <c r="M311" s="101"/>
      <c r="N311" s="101"/>
      <c r="O311" s="100"/>
      <c r="P311" s="100"/>
      <c r="Q311" s="101"/>
      <c r="R311" s="103"/>
      <c r="S311" s="103"/>
      <c r="T311" s="110"/>
      <c r="U311" s="101"/>
      <c r="V311" s="101"/>
      <c r="W311" s="100"/>
      <c r="X311" s="100"/>
      <c r="Y311" s="101"/>
      <c r="Z311" s="103"/>
      <c r="AA311" s="103"/>
      <c r="AB311" s="110"/>
      <c r="AC311" s="101"/>
      <c r="AD311" s="101"/>
      <c r="AE311" s="100"/>
      <c r="AF311" s="100"/>
      <c r="AG311" s="101"/>
      <c r="AH311" s="103"/>
      <c r="AI311" s="103"/>
      <c r="AJ311" s="110"/>
      <c r="AK311" s="101"/>
      <c r="AL311" s="101"/>
      <c r="AM311" s="100"/>
      <c r="AN311" s="100"/>
      <c r="AO311" s="101"/>
      <c r="AP311" s="103"/>
      <c r="AQ311" s="103"/>
      <c r="AR311" s="215"/>
    </row>
    <row r="312" spans="1:44" x14ac:dyDescent="0.25">
      <c r="A312" s="92" t="s">
        <v>380</v>
      </c>
      <c r="B312" s="22" t="s">
        <v>380</v>
      </c>
      <c r="C312" s="7"/>
      <c r="D312" s="7" t="s">
        <v>380</v>
      </c>
      <c r="E312" s="7" t="s">
        <v>380</v>
      </c>
      <c r="F312" s="7" t="s">
        <v>380</v>
      </c>
      <c r="G312" s="45" t="s">
        <v>380</v>
      </c>
      <c r="H312" s="7" t="s">
        <v>380</v>
      </c>
      <c r="I312" s="7" t="s">
        <v>380</v>
      </c>
      <c r="J312" s="21" t="s">
        <v>380</v>
      </c>
      <c r="K312" s="29" t="s">
        <v>380</v>
      </c>
      <c r="L312" s="29" t="s">
        <v>380</v>
      </c>
      <c r="M312" s="7" t="s">
        <v>380</v>
      </c>
      <c r="N312" s="7" t="s">
        <v>380</v>
      </c>
      <c r="O312" s="7" t="s">
        <v>380</v>
      </c>
      <c r="P312" s="7" t="s">
        <v>380</v>
      </c>
      <c r="Q312" s="7" t="s">
        <v>380</v>
      </c>
      <c r="R312" s="7" t="s">
        <v>380</v>
      </c>
      <c r="S312" s="7" t="s">
        <v>380</v>
      </c>
      <c r="T312" s="22" t="s">
        <v>380</v>
      </c>
      <c r="U312" s="7" t="s">
        <v>380</v>
      </c>
      <c r="V312" s="7" t="s">
        <v>380</v>
      </c>
      <c r="W312" s="7" t="s">
        <v>380</v>
      </c>
      <c r="X312" s="7" t="s">
        <v>380</v>
      </c>
      <c r="Y312" s="22" t="s">
        <v>380</v>
      </c>
      <c r="Z312" s="81" t="s">
        <v>380</v>
      </c>
      <c r="AA312" s="81" t="s">
        <v>380</v>
      </c>
      <c r="AB312" s="22" t="s">
        <v>380</v>
      </c>
      <c r="AC312" s="7" t="s">
        <v>380</v>
      </c>
      <c r="AD312" s="7" t="s">
        <v>380</v>
      </c>
      <c r="AE312" s="7" t="s">
        <v>380</v>
      </c>
      <c r="AF312" s="71" t="s">
        <v>380</v>
      </c>
      <c r="AG312" s="7" t="s">
        <v>380</v>
      </c>
      <c r="AH312" s="81" t="s">
        <v>380</v>
      </c>
      <c r="AI312" s="81" t="s">
        <v>380</v>
      </c>
      <c r="AJ312" s="22" t="s">
        <v>380</v>
      </c>
      <c r="AK312" s="7" t="s">
        <v>380</v>
      </c>
      <c r="AL312" s="7" t="s">
        <v>380</v>
      </c>
      <c r="AM312" s="7" t="s">
        <v>380</v>
      </c>
      <c r="AN312" s="7" t="s">
        <v>380</v>
      </c>
      <c r="AO312" s="7" t="s">
        <v>380</v>
      </c>
      <c r="AP312" s="81" t="s">
        <v>380</v>
      </c>
      <c r="AQ312" s="81" t="s">
        <v>380</v>
      </c>
      <c r="AR312" s="82" t="s">
        <v>380</v>
      </c>
    </row>
    <row r="313" spans="1:44" ht="70.5" customHeight="1" x14ac:dyDescent="0.25">
      <c r="A313" s="147" t="s">
        <v>97</v>
      </c>
      <c r="B313" s="148" t="s">
        <v>434</v>
      </c>
      <c r="C313" s="99">
        <v>66</v>
      </c>
      <c r="D313" s="99" t="s">
        <v>665</v>
      </c>
      <c r="E313" s="99">
        <v>0</v>
      </c>
      <c r="F313" s="189" t="s">
        <v>435</v>
      </c>
      <c r="G313" s="12" t="s">
        <v>436</v>
      </c>
      <c r="H313" s="14">
        <v>43466</v>
      </c>
      <c r="I313" s="14">
        <v>43830</v>
      </c>
      <c r="J313" s="33" t="s">
        <v>57</v>
      </c>
      <c r="K313" s="108" t="s">
        <v>326</v>
      </c>
      <c r="L313" s="108" t="s">
        <v>666</v>
      </c>
      <c r="M313" s="105" t="s">
        <v>666</v>
      </c>
      <c r="N313" s="105" t="s">
        <v>667</v>
      </c>
      <c r="O313" s="98">
        <f>IFERROR((0%/100%),"No aplica")</f>
        <v>0</v>
      </c>
      <c r="P313" s="117" t="s">
        <v>469</v>
      </c>
      <c r="Q313" s="105" t="s">
        <v>474</v>
      </c>
      <c r="R313" s="102" t="s">
        <v>533</v>
      </c>
      <c r="S313" s="102" t="s">
        <v>534</v>
      </c>
      <c r="T313" s="106" t="s">
        <v>666</v>
      </c>
      <c r="U313" s="105" t="s">
        <v>666</v>
      </c>
      <c r="V313" s="105" t="s">
        <v>806</v>
      </c>
      <c r="W313" s="98">
        <f>IFERROR((61%/100%),"No aplica")</f>
        <v>0.61</v>
      </c>
      <c r="X313" s="117" t="s">
        <v>469</v>
      </c>
      <c r="Y313" s="105" t="s">
        <v>531</v>
      </c>
      <c r="Z313" s="102" t="s">
        <v>805</v>
      </c>
      <c r="AA313" s="102" t="s">
        <v>668</v>
      </c>
      <c r="AB313" s="106" t="s">
        <v>666</v>
      </c>
      <c r="AC313" s="105" t="s">
        <v>666</v>
      </c>
      <c r="AD313" s="105" t="s">
        <v>1131</v>
      </c>
      <c r="AE313" s="98">
        <f>IFERROR((12.2%/100%),"No aplica")</f>
        <v>0.122</v>
      </c>
      <c r="AF313" s="117" t="s">
        <v>469</v>
      </c>
      <c r="AG313" s="105" t="s">
        <v>474</v>
      </c>
      <c r="AH313" s="102" t="s">
        <v>1190</v>
      </c>
      <c r="AI313" s="102" t="s">
        <v>1130</v>
      </c>
      <c r="AJ313" s="106" t="s">
        <v>666</v>
      </c>
      <c r="AK313" s="105" t="s">
        <v>666</v>
      </c>
      <c r="AL313" s="105" t="s">
        <v>1412</v>
      </c>
      <c r="AM313" s="98">
        <f>IFERROR((52.7%/100%),"No aplica")</f>
        <v>0.52700000000000002</v>
      </c>
      <c r="AN313" s="117" t="s">
        <v>469</v>
      </c>
      <c r="AO313" s="105" t="s">
        <v>531</v>
      </c>
      <c r="AP313" s="102" t="s">
        <v>1453</v>
      </c>
      <c r="AQ313" s="102" t="s">
        <v>1413</v>
      </c>
      <c r="AR313" s="206" t="s">
        <v>1550</v>
      </c>
    </row>
    <row r="314" spans="1:44" ht="70.5" customHeight="1" x14ac:dyDescent="0.25">
      <c r="A314" s="147"/>
      <c r="B314" s="148"/>
      <c r="C314" s="99"/>
      <c r="D314" s="99"/>
      <c r="E314" s="99"/>
      <c r="F314" s="189"/>
      <c r="G314" s="12" t="s">
        <v>661</v>
      </c>
      <c r="H314" s="14">
        <v>43466</v>
      </c>
      <c r="I314" s="14">
        <v>43830</v>
      </c>
      <c r="J314" s="33" t="s">
        <v>57</v>
      </c>
      <c r="K314" s="108"/>
      <c r="L314" s="108"/>
      <c r="M314" s="105"/>
      <c r="N314" s="105"/>
      <c r="O314" s="98"/>
      <c r="P314" s="117"/>
      <c r="Q314" s="105"/>
      <c r="R314" s="102"/>
      <c r="S314" s="102"/>
      <c r="T314" s="106"/>
      <c r="U314" s="105"/>
      <c r="V314" s="105"/>
      <c r="W314" s="98"/>
      <c r="X314" s="98"/>
      <c r="Y314" s="105"/>
      <c r="Z314" s="102"/>
      <c r="AA314" s="102"/>
      <c r="AB314" s="106"/>
      <c r="AC314" s="105"/>
      <c r="AD314" s="105"/>
      <c r="AE314" s="98"/>
      <c r="AF314" s="98"/>
      <c r="AG314" s="105"/>
      <c r="AH314" s="102"/>
      <c r="AI314" s="102"/>
      <c r="AJ314" s="106"/>
      <c r="AK314" s="105"/>
      <c r="AL314" s="105"/>
      <c r="AM314" s="98"/>
      <c r="AN314" s="117"/>
      <c r="AO314" s="105"/>
      <c r="AP314" s="102"/>
      <c r="AQ314" s="102"/>
      <c r="AR314" s="208"/>
    </row>
    <row r="315" spans="1:44" ht="102.75" customHeight="1" x14ac:dyDescent="0.25">
      <c r="A315" s="147" t="s">
        <v>97</v>
      </c>
      <c r="B315" s="148" t="s">
        <v>434</v>
      </c>
      <c r="C315" s="105">
        <v>67</v>
      </c>
      <c r="D315" s="105" t="s">
        <v>25</v>
      </c>
      <c r="E315" s="105">
        <v>0</v>
      </c>
      <c r="F315" s="105" t="s">
        <v>6</v>
      </c>
      <c r="G315" s="43" t="s">
        <v>400</v>
      </c>
      <c r="H315" s="15">
        <v>43466</v>
      </c>
      <c r="I315" s="15">
        <v>43570</v>
      </c>
      <c r="J315" s="33" t="s">
        <v>57</v>
      </c>
      <c r="K315" s="108" t="s">
        <v>326</v>
      </c>
      <c r="L315" s="108" t="s">
        <v>673</v>
      </c>
      <c r="M315" s="105" t="s">
        <v>671</v>
      </c>
      <c r="N315" s="105" t="s">
        <v>672</v>
      </c>
      <c r="O315" s="98">
        <f>IFERROR((40/45),"No aplica")</f>
        <v>0.88888888888888884</v>
      </c>
      <c r="P315" s="98">
        <f>IFERROR((40/292),"No aplica")</f>
        <v>0.13698630136986301</v>
      </c>
      <c r="Q315" s="105" t="s">
        <v>458</v>
      </c>
      <c r="R315" s="102" t="s">
        <v>580</v>
      </c>
      <c r="S315" s="102" t="s">
        <v>599</v>
      </c>
      <c r="T315" s="106" t="s">
        <v>673</v>
      </c>
      <c r="U315" s="105" t="s">
        <v>674</v>
      </c>
      <c r="V315" s="105" t="s">
        <v>674</v>
      </c>
      <c r="W315" s="98">
        <f>IFERROR((127/127),"No aplica")</f>
        <v>1</v>
      </c>
      <c r="X315" s="116">
        <f>IFERROR(((40+127)/292),"No aplica")</f>
        <v>0.57191780821917804</v>
      </c>
      <c r="Y315" s="105" t="s">
        <v>458</v>
      </c>
      <c r="Z315" s="102" t="s">
        <v>669</v>
      </c>
      <c r="AA315" s="102" t="s">
        <v>670</v>
      </c>
      <c r="AB315" s="106" t="s">
        <v>673</v>
      </c>
      <c r="AC315" s="105" t="s">
        <v>1132</v>
      </c>
      <c r="AD315" s="105" t="s">
        <v>1133</v>
      </c>
      <c r="AE315" s="98">
        <f>IFERROR((20/60),"No aplica")</f>
        <v>0.33333333333333331</v>
      </c>
      <c r="AF315" s="116">
        <f>IFERROR(((40+127+20)/292),"No aplica")</f>
        <v>0.6404109589041096</v>
      </c>
      <c r="AG315" s="105" t="s">
        <v>458</v>
      </c>
      <c r="AH315" s="102" t="s">
        <v>1134</v>
      </c>
      <c r="AI315" s="102" t="s">
        <v>1135</v>
      </c>
      <c r="AJ315" s="106" t="s">
        <v>673</v>
      </c>
      <c r="AK315" s="105" t="s">
        <v>1475</v>
      </c>
      <c r="AL315" s="105" t="s">
        <v>1414</v>
      </c>
      <c r="AM315" s="98">
        <f>IFERROR((51/74),"No aplica")</f>
        <v>0.68918918918918914</v>
      </c>
      <c r="AN315" s="116">
        <f>IFERROR(((40+127+20+51)/306),"No aplica")</f>
        <v>0.77777777777777779</v>
      </c>
      <c r="AO315" s="105" t="s">
        <v>458</v>
      </c>
      <c r="AP315" s="102" t="s">
        <v>1552</v>
      </c>
      <c r="AQ315" s="102" t="s">
        <v>1135</v>
      </c>
      <c r="AR315" s="206" t="s">
        <v>1551</v>
      </c>
    </row>
    <row r="316" spans="1:44" ht="102.75" customHeight="1" x14ac:dyDescent="0.25">
      <c r="A316" s="147"/>
      <c r="B316" s="148"/>
      <c r="C316" s="105"/>
      <c r="D316" s="105"/>
      <c r="E316" s="105"/>
      <c r="F316" s="105"/>
      <c r="G316" s="43" t="s">
        <v>662</v>
      </c>
      <c r="H316" s="15">
        <v>43571</v>
      </c>
      <c r="I316" s="14">
        <v>43830</v>
      </c>
      <c r="J316" s="33" t="s">
        <v>57</v>
      </c>
      <c r="K316" s="108"/>
      <c r="L316" s="108"/>
      <c r="M316" s="105"/>
      <c r="N316" s="105"/>
      <c r="O316" s="98"/>
      <c r="P316" s="98"/>
      <c r="Q316" s="105"/>
      <c r="R316" s="102"/>
      <c r="S316" s="102"/>
      <c r="T316" s="106"/>
      <c r="U316" s="105"/>
      <c r="V316" s="105"/>
      <c r="W316" s="98"/>
      <c r="X316" s="116"/>
      <c r="Y316" s="105"/>
      <c r="Z316" s="102"/>
      <c r="AA316" s="102"/>
      <c r="AB316" s="106"/>
      <c r="AC316" s="105"/>
      <c r="AD316" s="105"/>
      <c r="AE316" s="98"/>
      <c r="AF316" s="116"/>
      <c r="AG316" s="105"/>
      <c r="AH316" s="102"/>
      <c r="AI316" s="102"/>
      <c r="AJ316" s="106"/>
      <c r="AK316" s="105"/>
      <c r="AL316" s="105"/>
      <c r="AM316" s="98"/>
      <c r="AN316" s="116"/>
      <c r="AO316" s="105"/>
      <c r="AP316" s="102"/>
      <c r="AQ316" s="102"/>
      <c r="AR316" s="208"/>
    </row>
    <row r="317" spans="1:44" ht="70.5" customHeight="1" x14ac:dyDescent="0.25">
      <c r="A317" s="147" t="s">
        <v>97</v>
      </c>
      <c r="B317" s="148" t="s">
        <v>434</v>
      </c>
      <c r="C317" s="99">
        <v>68</v>
      </c>
      <c r="D317" s="99" t="s">
        <v>677</v>
      </c>
      <c r="E317" s="99">
        <v>0</v>
      </c>
      <c r="F317" s="101" t="s">
        <v>678</v>
      </c>
      <c r="G317" s="43" t="s">
        <v>663</v>
      </c>
      <c r="H317" s="15">
        <v>43466</v>
      </c>
      <c r="I317" s="15">
        <v>43616</v>
      </c>
      <c r="J317" s="33" t="s">
        <v>57</v>
      </c>
      <c r="K317" s="170" t="s">
        <v>326</v>
      </c>
      <c r="L317" s="170" t="s">
        <v>680</v>
      </c>
      <c r="M317" s="101" t="s">
        <v>676</v>
      </c>
      <c r="N317" s="101" t="s">
        <v>676</v>
      </c>
      <c r="O317" s="100">
        <f>IFERROR((20%/20%),"No aplica")</f>
        <v>1</v>
      </c>
      <c r="P317" s="100">
        <f>IFERROR((20%/100%),"No aplica")</f>
        <v>0.2</v>
      </c>
      <c r="Q317" s="101" t="s">
        <v>458</v>
      </c>
      <c r="R317" s="103" t="s">
        <v>535</v>
      </c>
      <c r="S317" s="103" t="s">
        <v>600</v>
      </c>
      <c r="T317" s="110" t="s">
        <v>680</v>
      </c>
      <c r="U317" s="101" t="s">
        <v>676</v>
      </c>
      <c r="V317" s="101" t="s">
        <v>676</v>
      </c>
      <c r="W317" s="100">
        <f>IFERROR((20%/20%),"No aplica")</f>
        <v>1</v>
      </c>
      <c r="X317" s="100">
        <f>IFERROR(((20%+20%)/100%),"No aplica")</f>
        <v>0.4</v>
      </c>
      <c r="Y317" s="101" t="s">
        <v>458</v>
      </c>
      <c r="Z317" s="103" t="s">
        <v>675</v>
      </c>
      <c r="AA317" s="103" t="s">
        <v>698</v>
      </c>
      <c r="AB317" s="110" t="s">
        <v>680</v>
      </c>
      <c r="AC317" s="101" t="s">
        <v>1136</v>
      </c>
      <c r="AD317" s="101" t="s">
        <v>1137</v>
      </c>
      <c r="AE317" s="100">
        <f>IFERROR((10%/30%),"No aplica")</f>
        <v>0.33333333333333337</v>
      </c>
      <c r="AF317" s="100">
        <f>IFERROR(((20%+20%+10%)/100%),"No aplica")</f>
        <v>0.5</v>
      </c>
      <c r="AG317" s="101" t="s">
        <v>531</v>
      </c>
      <c r="AH317" s="103" t="s">
        <v>1191</v>
      </c>
      <c r="AI317" s="103" t="s">
        <v>1138</v>
      </c>
      <c r="AJ317" s="110" t="s">
        <v>680</v>
      </c>
      <c r="AK317" s="101" t="s">
        <v>1136</v>
      </c>
      <c r="AL317" s="101" t="s">
        <v>1415</v>
      </c>
      <c r="AM317" s="121">
        <f>IFERROR((28.2%/30%),"No aplica")</f>
        <v>0.94</v>
      </c>
      <c r="AN317" s="121">
        <f>IFERROR(((20%+20%+10%+28.2%)/100%),"No aplica")</f>
        <v>0.78200000000000003</v>
      </c>
      <c r="AO317" s="101" t="s">
        <v>531</v>
      </c>
      <c r="AP317" s="103" t="s">
        <v>1454</v>
      </c>
      <c r="AQ317" s="103" t="s">
        <v>1416</v>
      </c>
      <c r="AR317" s="212" t="s">
        <v>1417</v>
      </c>
    </row>
    <row r="318" spans="1:44" ht="70.5" customHeight="1" x14ac:dyDescent="0.25">
      <c r="A318" s="147"/>
      <c r="B318" s="148"/>
      <c r="C318" s="99"/>
      <c r="D318" s="99"/>
      <c r="E318" s="99"/>
      <c r="F318" s="101"/>
      <c r="G318" s="43" t="s">
        <v>664</v>
      </c>
      <c r="H318" s="15">
        <v>43617</v>
      </c>
      <c r="I318" s="15">
        <v>43656</v>
      </c>
      <c r="J318" s="33" t="s">
        <v>57</v>
      </c>
      <c r="K318" s="170"/>
      <c r="L318" s="170"/>
      <c r="M318" s="101"/>
      <c r="N318" s="101"/>
      <c r="O318" s="100"/>
      <c r="P318" s="100"/>
      <c r="Q318" s="101"/>
      <c r="R318" s="103"/>
      <c r="S318" s="103"/>
      <c r="T318" s="110"/>
      <c r="U318" s="101"/>
      <c r="V318" s="101"/>
      <c r="W318" s="100"/>
      <c r="X318" s="100"/>
      <c r="Y318" s="101"/>
      <c r="Z318" s="103"/>
      <c r="AA318" s="103"/>
      <c r="AB318" s="110"/>
      <c r="AC318" s="101"/>
      <c r="AD318" s="101"/>
      <c r="AE318" s="100"/>
      <c r="AF318" s="100"/>
      <c r="AG318" s="101"/>
      <c r="AH318" s="103"/>
      <c r="AI318" s="103"/>
      <c r="AJ318" s="110"/>
      <c r="AK318" s="101"/>
      <c r="AL318" s="101"/>
      <c r="AM318" s="121"/>
      <c r="AN318" s="121"/>
      <c r="AO318" s="101"/>
      <c r="AP318" s="103"/>
      <c r="AQ318" s="103"/>
      <c r="AR318" s="213"/>
    </row>
    <row r="319" spans="1:44" ht="70.5" customHeight="1" x14ac:dyDescent="0.25">
      <c r="A319" s="147"/>
      <c r="B319" s="148"/>
      <c r="C319" s="99"/>
      <c r="D319" s="99"/>
      <c r="E319" s="99"/>
      <c r="F319" s="101"/>
      <c r="G319" s="43" t="s">
        <v>679</v>
      </c>
      <c r="H319" s="15">
        <v>43657</v>
      </c>
      <c r="I319" s="14">
        <v>43830</v>
      </c>
      <c r="J319" s="33" t="s">
        <v>57</v>
      </c>
      <c r="K319" s="170"/>
      <c r="L319" s="170"/>
      <c r="M319" s="101"/>
      <c r="N319" s="101"/>
      <c r="O319" s="100"/>
      <c r="P319" s="100"/>
      <c r="Q319" s="101"/>
      <c r="R319" s="103"/>
      <c r="S319" s="103"/>
      <c r="T319" s="110"/>
      <c r="U319" s="101"/>
      <c r="V319" s="101"/>
      <c r="W319" s="100"/>
      <c r="X319" s="100"/>
      <c r="Y319" s="101"/>
      <c r="Z319" s="103"/>
      <c r="AA319" s="103"/>
      <c r="AB319" s="110"/>
      <c r="AC319" s="101"/>
      <c r="AD319" s="101"/>
      <c r="AE319" s="100"/>
      <c r="AF319" s="100"/>
      <c r="AG319" s="101"/>
      <c r="AH319" s="103"/>
      <c r="AI319" s="103"/>
      <c r="AJ319" s="110"/>
      <c r="AK319" s="101"/>
      <c r="AL319" s="101"/>
      <c r="AM319" s="121"/>
      <c r="AN319" s="121"/>
      <c r="AO319" s="101"/>
      <c r="AP319" s="103"/>
      <c r="AQ319" s="103"/>
      <c r="AR319" s="215"/>
    </row>
    <row r="320" spans="1:44" ht="284.25" customHeight="1" x14ac:dyDescent="0.25">
      <c r="A320" s="165" t="s">
        <v>97</v>
      </c>
      <c r="B320" s="166" t="s">
        <v>434</v>
      </c>
      <c r="C320" s="159">
        <v>69</v>
      </c>
      <c r="D320" s="159" t="s">
        <v>873</v>
      </c>
      <c r="E320" s="159">
        <v>0</v>
      </c>
      <c r="F320" s="185" t="s">
        <v>229</v>
      </c>
      <c r="G320" s="59" t="s">
        <v>230</v>
      </c>
      <c r="H320" s="60">
        <v>43525</v>
      </c>
      <c r="I320" s="60">
        <v>43830</v>
      </c>
      <c r="J320" s="61" t="s">
        <v>57</v>
      </c>
      <c r="K320" s="186" t="s">
        <v>326</v>
      </c>
      <c r="L320" s="170" t="s">
        <v>681</v>
      </c>
      <c r="M320" s="101" t="s">
        <v>682</v>
      </c>
      <c r="N320" s="101" t="s">
        <v>682</v>
      </c>
      <c r="O320" s="100">
        <f>IFERROR((33%/33%),"No aplica")</f>
        <v>1</v>
      </c>
      <c r="P320" s="100">
        <f>IFERROR((33%/70%),"No aplica")</f>
        <v>0.47142857142857147</v>
      </c>
      <c r="Q320" s="101" t="s">
        <v>458</v>
      </c>
      <c r="R320" s="103" t="s">
        <v>582</v>
      </c>
      <c r="S320" s="103" t="s">
        <v>581</v>
      </c>
      <c r="T320" s="110" t="s">
        <v>681</v>
      </c>
      <c r="U320" s="101" t="s">
        <v>685</v>
      </c>
      <c r="V320" s="101" t="s">
        <v>685</v>
      </c>
      <c r="W320" s="100">
        <f>IFERROR((2%/2%),"No aplica")</f>
        <v>1</v>
      </c>
      <c r="X320" s="100">
        <f>IFERROR(((33%+2%)/70%),"No aplica")</f>
        <v>0.50000000000000011</v>
      </c>
      <c r="Y320" s="101" t="s">
        <v>458</v>
      </c>
      <c r="Z320" s="103" t="s">
        <v>683</v>
      </c>
      <c r="AA320" s="103" t="s">
        <v>684</v>
      </c>
      <c r="AB320" s="110" t="s">
        <v>681</v>
      </c>
      <c r="AC320" s="101" t="s">
        <v>1139</v>
      </c>
      <c r="AD320" s="101" t="s">
        <v>1197</v>
      </c>
      <c r="AE320" s="100">
        <f>IFERROR((5.5%/12%),"No aplica")</f>
        <v>0.45833333333333337</v>
      </c>
      <c r="AF320" s="100">
        <f>IFERROR(((33%+2%+5.5%)/70%),"No aplica")</f>
        <v>0.57857142857142863</v>
      </c>
      <c r="AG320" s="101" t="s">
        <v>531</v>
      </c>
      <c r="AH320" s="103" t="s">
        <v>1192</v>
      </c>
      <c r="AI320" s="103" t="s">
        <v>1140</v>
      </c>
      <c r="AJ320" s="110" t="s">
        <v>681</v>
      </c>
      <c r="AK320" s="101" t="s">
        <v>1418</v>
      </c>
      <c r="AL320" s="101" t="s">
        <v>1456</v>
      </c>
      <c r="AM320" s="100">
        <f>IFERROR((22.5%/23%),"No aplica")</f>
        <v>0.97826086956521741</v>
      </c>
      <c r="AN320" s="100">
        <f>IFERROR(((33%+2%+5.5%+22.5%)/70%),"No aplica")</f>
        <v>0.9</v>
      </c>
      <c r="AO320" s="101" t="s">
        <v>601</v>
      </c>
      <c r="AP320" s="103" t="s">
        <v>1455</v>
      </c>
      <c r="AQ320" s="103" t="s">
        <v>1554</v>
      </c>
      <c r="AR320" s="212" t="s">
        <v>1553</v>
      </c>
    </row>
    <row r="321" spans="1:44" ht="284.25" customHeight="1" x14ac:dyDescent="0.25">
      <c r="A321" s="165"/>
      <c r="B321" s="166"/>
      <c r="C321" s="159"/>
      <c r="D321" s="159"/>
      <c r="E321" s="159"/>
      <c r="F321" s="185"/>
      <c r="G321" s="59" t="s">
        <v>933</v>
      </c>
      <c r="H321" s="60">
        <v>43525</v>
      </c>
      <c r="I321" s="60">
        <v>43830</v>
      </c>
      <c r="J321" s="61" t="s">
        <v>57</v>
      </c>
      <c r="K321" s="186"/>
      <c r="L321" s="170"/>
      <c r="M321" s="101"/>
      <c r="N321" s="101"/>
      <c r="O321" s="100"/>
      <c r="P321" s="100"/>
      <c r="Q321" s="101"/>
      <c r="R321" s="103"/>
      <c r="S321" s="103"/>
      <c r="T321" s="110"/>
      <c r="U321" s="101"/>
      <c r="V321" s="101"/>
      <c r="W321" s="100"/>
      <c r="X321" s="100"/>
      <c r="Y321" s="101"/>
      <c r="Z321" s="103"/>
      <c r="AA321" s="103"/>
      <c r="AB321" s="110"/>
      <c r="AC321" s="101"/>
      <c r="AD321" s="101"/>
      <c r="AE321" s="100"/>
      <c r="AF321" s="100"/>
      <c r="AG321" s="101"/>
      <c r="AH321" s="103"/>
      <c r="AI321" s="103"/>
      <c r="AJ321" s="110"/>
      <c r="AK321" s="101"/>
      <c r="AL321" s="101"/>
      <c r="AM321" s="100"/>
      <c r="AN321" s="100"/>
      <c r="AO321" s="101"/>
      <c r="AP321" s="103"/>
      <c r="AQ321" s="103"/>
      <c r="AR321" s="215"/>
    </row>
    <row r="322" spans="1:44" ht="70.5" customHeight="1" x14ac:dyDescent="0.25">
      <c r="A322" s="147" t="s">
        <v>97</v>
      </c>
      <c r="B322" s="148" t="s">
        <v>434</v>
      </c>
      <c r="C322" s="99">
        <v>70</v>
      </c>
      <c r="D322" s="99" t="s">
        <v>688</v>
      </c>
      <c r="E322" s="99">
        <v>0</v>
      </c>
      <c r="F322" s="101" t="s">
        <v>228</v>
      </c>
      <c r="G322" s="44" t="s">
        <v>437</v>
      </c>
      <c r="H322" s="15">
        <v>43525</v>
      </c>
      <c r="I322" s="14">
        <v>43830</v>
      </c>
      <c r="J322" s="33" t="s">
        <v>57</v>
      </c>
      <c r="K322" s="170" t="s">
        <v>326</v>
      </c>
      <c r="L322" s="170" t="s">
        <v>689</v>
      </c>
      <c r="M322" s="101" t="s">
        <v>690</v>
      </c>
      <c r="N322" s="101" t="s">
        <v>690</v>
      </c>
      <c r="O322" s="100" t="str">
        <f>IFERROR((0%/0%),"No aplica")</f>
        <v>No aplica</v>
      </c>
      <c r="P322" s="100">
        <f>IFERROR((0%/100%),"No aplica")</f>
        <v>0</v>
      </c>
      <c r="Q322" s="101" t="s">
        <v>457</v>
      </c>
      <c r="R322" s="103" t="s">
        <v>485</v>
      </c>
      <c r="S322" s="103" t="s">
        <v>309</v>
      </c>
      <c r="T322" s="110" t="s">
        <v>689</v>
      </c>
      <c r="U322" s="101" t="s">
        <v>691</v>
      </c>
      <c r="V322" s="101" t="s">
        <v>691</v>
      </c>
      <c r="W322" s="100">
        <f>IFERROR((5%/5%),"No aplica")</f>
        <v>1</v>
      </c>
      <c r="X322" s="100">
        <f>IFERROR((5%/100%),"No aplica")</f>
        <v>0.05</v>
      </c>
      <c r="Y322" s="101" t="s">
        <v>458</v>
      </c>
      <c r="Z322" s="103" t="s">
        <v>686</v>
      </c>
      <c r="AA322" s="103" t="s">
        <v>687</v>
      </c>
      <c r="AB322" s="110" t="s">
        <v>689</v>
      </c>
      <c r="AC322" s="101" t="s">
        <v>1141</v>
      </c>
      <c r="AD322" s="101" t="s">
        <v>690</v>
      </c>
      <c r="AE322" s="100">
        <f>IFERROR((0%/55%),"No aplica")</f>
        <v>0</v>
      </c>
      <c r="AF322" s="100">
        <f>IFERROR(((0%+5%+0%)/100%),"No aplica")</f>
        <v>0.05</v>
      </c>
      <c r="AG322" s="101" t="s">
        <v>474</v>
      </c>
      <c r="AH322" s="103" t="s">
        <v>1193</v>
      </c>
      <c r="AI322" s="103" t="s">
        <v>1194</v>
      </c>
      <c r="AJ322" s="110" t="s">
        <v>689</v>
      </c>
      <c r="AK322" s="101" t="s">
        <v>1419</v>
      </c>
      <c r="AL322" s="101" t="s">
        <v>1420</v>
      </c>
      <c r="AM322" s="100">
        <f>IFERROR((10%/40%),"No aplica")</f>
        <v>0.25</v>
      </c>
      <c r="AN322" s="100">
        <f>IFERROR(((0%+5%+0%+10%)/100%),"No aplica")</f>
        <v>0.15000000000000002</v>
      </c>
      <c r="AO322" s="101" t="s">
        <v>474</v>
      </c>
      <c r="AP322" s="103" t="s">
        <v>1555</v>
      </c>
      <c r="AQ322" s="103" t="s">
        <v>1421</v>
      </c>
      <c r="AR322" s="212" t="s">
        <v>1422</v>
      </c>
    </row>
    <row r="323" spans="1:44" ht="70.5" customHeight="1" x14ac:dyDescent="0.25">
      <c r="A323" s="147"/>
      <c r="B323" s="148"/>
      <c r="C323" s="99"/>
      <c r="D323" s="99"/>
      <c r="E323" s="99"/>
      <c r="F323" s="101"/>
      <c r="G323" s="24" t="s">
        <v>130</v>
      </c>
      <c r="H323" s="15">
        <v>43525</v>
      </c>
      <c r="I323" s="14">
        <v>43830</v>
      </c>
      <c r="J323" s="33" t="s">
        <v>57</v>
      </c>
      <c r="K323" s="170"/>
      <c r="L323" s="170"/>
      <c r="M323" s="101"/>
      <c r="N323" s="101"/>
      <c r="O323" s="100"/>
      <c r="P323" s="100"/>
      <c r="Q323" s="101"/>
      <c r="R323" s="103"/>
      <c r="S323" s="103"/>
      <c r="T323" s="110"/>
      <c r="U323" s="101"/>
      <c r="V323" s="101"/>
      <c r="W323" s="100"/>
      <c r="X323" s="100"/>
      <c r="Y323" s="101"/>
      <c r="Z323" s="103"/>
      <c r="AA323" s="103"/>
      <c r="AB323" s="110"/>
      <c r="AC323" s="101"/>
      <c r="AD323" s="101"/>
      <c r="AE323" s="100"/>
      <c r="AF323" s="100"/>
      <c r="AG323" s="101"/>
      <c r="AH323" s="103"/>
      <c r="AI323" s="103"/>
      <c r="AJ323" s="110"/>
      <c r="AK323" s="101"/>
      <c r="AL323" s="101"/>
      <c r="AM323" s="100"/>
      <c r="AN323" s="100"/>
      <c r="AO323" s="101"/>
      <c r="AP323" s="103"/>
      <c r="AQ323" s="103"/>
      <c r="AR323" s="215"/>
    </row>
    <row r="324" spans="1:44" ht="70.5" customHeight="1" x14ac:dyDescent="0.25">
      <c r="A324" s="147" t="s">
        <v>97</v>
      </c>
      <c r="B324" s="148" t="s">
        <v>434</v>
      </c>
      <c r="C324" s="101">
        <v>71</v>
      </c>
      <c r="D324" s="101" t="s">
        <v>335</v>
      </c>
      <c r="E324" s="101">
        <v>0</v>
      </c>
      <c r="F324" s="101" t="s">
        <v>344</v>
      </c>
      <c r="G324" s="9" t="s">
        <v>438</v>
      </c>
      <c r="H324" s="14">
        <v>43647</v>
      </c>
      <c r="I324" s="14">
        <v>43676</v>
      </c>
      <c r="J324" s="33" t="s">
        <v>57</v>
      </c>
      <c r="K324" s="153" t="s">
        <v>326</v>
      </c>
      <c r="L324" s="170" t="s">
        <v>336</v>
      </c>
      <c r="M324" s="101" t="s">
        <v>536</v>
      </c>
      <c r="N324" s="101" t="s">
        <v>536</v>
      </c>
      <c r="O324" s="100" t="str">
        <f>IFERROR((0/0),"No aplica")</f>
        <v>No aplica</v>
      </c>
      <c r="P324" s="100">
        <f>IFERROR((0/1),"No aplica")</f>
        <v>0</v>
      </c>
      <c r="Q324" s="101" t="s">
        <v>457</v>
      </c>
      <c r="R324" s="103" t="s">
        <v>485</v>
      </c>
      <c r="S324" s="103" t="s">
        <v>309</v>
      </c>
      <c r="T324" s="110" t="s">
        <v>336</v>
      </c>
      <c r="U324" s="101" t="s">
        <v>536</v>
      </c>
      <c r="V324" s="101" t="s">
        <v>536</v>
      </c>
      <c r="W324" s="100" t="str">
        <f>IFERROR((0/0),"No aplica")</f>
        <v>No aplica</v>
      </c>
      <c r="X324" s="100">
        <f>IFERROR((0/1),"No aplica")</f>
        <v>0</v>
      </c>
      <c r="Y324" s="101" t="s">
        <v>457</v>
      </c>
      <c r="Z324" s="103" t="s">
        <v>692</v>
      </c>
      <c r="AA324" s="103" t="s">
        <v>693</v>
      </c>
      <c r="AB324" s="110" t="s">
        <v>336</v>
      </c>
      <c r="AC324" s="101" t="s">
        <v>1142</v>
      </c>
      <c r="AD324" s="101" t="s">
        <v>1142</v>
      </c>
      <c r="AE324" s="100">
        <f>IFERROR((1/1),"No aplica")</f>
        <v>1</v>
      </c>
      <c r="AF324" s="100">
        <f>IFERROR((1/1),"No aplica")</f>
        <v>1</v>
      </c>
      <c r="AG324" s="101" t="s">
        <v>458</v>
      </c>
      <c r="AH324" s="103" t="s">
        <v>1195</v>
      </c>
      <c r="AI324" s="103" t="s">
        <v>1196</v>
      </c>
      <c r="AJ324" s="110" t="s">
        <v>336</v>
      </c>
      <c r="AK324" s="101" t="s">
        <v>536</v>
      </c>
      <c r="AL324" s="101" t="s">
        <v>536</v>
      </c>
      <c r="AM324" s="100" t="str">
        <f>IFERROR((0/0),"No aplica")</f>
        <v>No aplica</v>
      </c>
      <c r="AN324" s="100">
        <f>IFERROR((1/1),"No aplica")</f>
        <v>1</v>
      </c>
      <c r="AO324" s="101" t="s">
        <v>458</v>
      </c>
      <c r="AP324" s="103" t="s">
        <v>1457</v>
      </c>
      <c r="AQ324" s="103" t="s">
        <v>1423</v>
      </c>
      <c r="AR324" s="212" t="s">
        <v>1558</v>
      </c>
    </row>
    <row r="325" spans="1:44" ht="70.5" customHeight="1" x14ac:dyDescent="0.25">
      <c r="A325" s="147"/>
      <c r="B325" s="148"/>
      <c r="C325" s="101"/>
      <c r="D325" s="101"/>
      <c r="E325" s="101"/>
      <c r="F325" s="101"/>
      <c r="G325" s="9" t="s">
        <v>61</v>
      </c>
      <c r="H325" s="14">
        <v>43678</v>
      </c>
      <c r="I325" s="14">
        <v>43738</v>
      </c>
      <c r="J325" s="33" t="s">
        <v>57</v>
      </c>
      <c r="K325" s="153"/>
      <c r="L325" s="170"/>
      <c r="M325" s="101"/>
      <c r="N325" s="101"/>
      <c r="O325" s="100"/>
      <c r="P325" s="100"/>
      <c r="Q325" s="101"/>
      <c r="R325" s="103"/>
      <c r="S325" s="103"/>
      <c r="T325" s="110"/>
      <c r="U325" s="101"/>
      <c r="V325" s="101"/>
      <c r="W325" s="100"/>
      <c r="X325" s="100"/>
      <c r="Y325" s="101"/>
      <c r="Z325" s="103"/>
      <c r="AA325" s="103"/>
      <c r="AB325" s="110"/>
      <c r="AC325" s="101"/>
      <c r="AD325" s="101"/>
      <c r="AE325" s="100"/>
      <c r="AF325" s="100"/>
      <c r="AG325" s="101"/>
      <c r="AH325" s="103"/>
      <c r="AI325" s="103"/>
      <c r="AJ325" s="110"/>
      <c r="AK325" s="101"/>
      <c r="AL325" s="101"/>
      <c r="AM325" s="100"/>
      <c r="AN325" s="100"/>
      <c r="AO325" s="101"/>
      <c r="AP325" s="103"/>
      <c r="AQ325" s="103"/>
      <c r="AR325" s="213"/>
    </row>
    <row r="326" spans="1:44" ht="70.5" customHeight="1" thickBot="1" x14ac:dyDescent="0.3">
      <c r="A326" s="191"/>
      <c r="B326" s="192"/>
      <c r="C326" s="112"/>
      <c r="D326" s="112"/>
      <c r="E326" s="112"/>
      <c r="F326" s="112"/>
      <c r="G326" s="46" t="s">
        <v>439</v>
      </c>
      <c r="H326" s="23">
        <v>43739</v>
      </c>
      <c r="I326" s="23">
        <v>43799</v>
      </c>
      <c r="J326" s="37" t="s">
        <v>57</v>
      </c>
      <c r="K326" s="190"/>
      <c r="L326" s="193"/>
      <c r="M326" s="112"/>
      <c r="N326" s="112"/>
      <c r="O326" s="113"/>
      <c r="P326" s="113"/>
      <c r="Q326" s="112"/>
      <c r="R326" s="114"/>
      <c r="S326" s="114"/>
      <c r="T326" s="111"/>
      <c r="U326" s="112"/>
      <c r="V326" s="112"/>
      <c r="W326" s="113"/>
      <c r="X326" s="113"/>
      <c r="Y326" s="112"/>
      <c r="Z326" s="114"/>
      <c r="AA326" s="114"/>
      <c r="AB326" s="111"/>
      <c r="AC326" s="112"/>
      <c r="AD326" s="112"/>
      <c r="AE326" s="113"/>
      <c r="AF326" s="113"/>
      <c r="AG326" s="112"/>
      <c r="AH326" s="114"/>
      <c r="AI326" s="114"/>
      <c r="AJ326" s="111"/>
      <c r="AK326" s="112"/>
      <c r="AL326" s="112"/>
      <c r="AM326" s="113"/>
      <c r="AN326" s="113"/>
      <c r="AO326" s="112"/>
      <c r="AP326" s="114"/>
      <c r="AQ326" s="114"/>
      <c r="AR326" s="214"/>
    </row>
    <row r="327" spans="1:44" ht="15.75" customHeight="1" x14ac:dyDescent="0.25">
      <c r="A327" s="5"/>
      <c r="B327" s="8"/>
      <c r="C327" s="8"/>
      <c r="D327" s="8"/>
      <c r="E327" s="8"/>
      <c r="F327" s="8"/>
      <c r="G327" s="5"/>
      <c r="H327" s="19"/>
      <c r="I327" s="19"/>
      <c r="J327" s="5"/>
      <c r="K327" s="10"/>
      <c r="L327" s="79"/>
      <c r="M327" s="79"/>
      <c r="N327" s="79"/>
      <c r="O327" s="79"/>
      <c r="P327" s="8"/>
      <c r="Q327" s="8"/>
      <c r="R327" s="8"/>
      <c r="S327" s="27"/>
      <c r="T327" s="8"/>
      <c r="U327" s="8"/>
      <c r="V327" s="8"/>
      <c r="W327" s="8"/>
      <c r="X327" s="8"/>
      <c r="Y327" s="8"/>
      <c r="Z327" s="8"/>
      <c r="AA327" s="27"/>
    </row>
    <row r="328" spans="1:44" x14ac:dyDescent="0.25">
      <c r="A328" s="5"/>
      <c r="B328" s="8"/>
      <c r="C328" s="8"/>
      <c r="D328" s="8"/>
      <c r="E328" s="8"/>
      <c r="F328" s="8"/>
      <c r="G328" s="5"/>
      <c r="H328" s="19"/>
      <c r="I328" s="19"/>
      <c r="J328" s="5"/>
      <c r="K328" s="10"/>
      <c r="L328" s="79"/>
      <c r="M328" s="79"/>
      <c r="N328" s="79"/>
      <c r="O328" s="79"/>
      <c r="P328" s="8"/>
      <c r="Q328" s="8"/>
      <c r="R328" s="8"/>
      <c r="S328" s="27"/>
      <c r="T328" s="8"/>
      <c r="U328" s="8"/>
      <c r="V328" s="8"/>
      <c r="W328" s="8"/>
      <c r="X328" s="8"/>
      <c r="Y328" s="8"/>
      <c r="Z328" s="8"/>
      <c r="AA328" s="27"/>
    </row>
    <row r="329" spans="1:44" x14ac:dyDescent="0.25">
      <c r="A329" s="5"/>
      <c r="B329" s="8"/>
      <c r="C329" s="8"/>
      <c r="D329" s="8"/>
      <c r="E329" s="8"/>
      <c r="F329" s="8"/>
      <c r="G329" s="5"/>
      <c r="H329" s="19"/>
      <c r="I329" s="19"/>
      <c r="J329" s="5"/>
      <c r="K329" s="10"/>
      <c r="L329" s="79"/>
      <c r="M329" s="79"/>
      <c r="N329" s="79"/>
      <c r="O329" s="79"/>
      <c r="P329" s="8"/>
      <c r="Q329" s="8"/>
      <c r="R329" s="8"/>
      <c r="S329" s="27"/>
      <c r="T329" s="8"/>
      <c r="U329" s="8"/>
      <c r="V329" s="8"/>
      <c r="W329" s="8"/>
      <c r="X329" s="8"/>
      <c r="Y329" s="8"/>
      <c r="Z329" s="8"/>
      <c r="AA329" s="27"/>
    </row>
    <row r="330" spans="1:44" x14ac:dyDescent="0.25">
      <c r="A330" s="5"/>
      <c r="B330" s="8"/>
      <c r="C330" s="8"/>
      <c r="D330" s="8"/>
      <c r="E330" s="8"/>
      <c r="F330" s="8"/>
      <c r="G330" s="5"/>
      <c r="H330" s="19"/>
      <c r="I330" s="19"/>
      <c r="J330" s="5"/>
      <c r="K330" s="10"/>
      <c r="L330" s="79"/>
      <c r="M330" s="79"/>
      <c r="N330" s="79"/>
      <c r="O330" s="79"/>
      <c r="P330" s="8"/>
      <c r="Q330" s="8"/>
      <c r="R330" s="8"/>
      <c r="S330" s="27"/>
      <c r="T330" s="8"/>
      <c r="U330" s="8"/>
      <c r="V330" s="8"/>
      <c r="W330" s="8"/>
      <c r="X330" s="8"/>
      <c r="Y330" s="8"/>
      <c r="Z330" s="8"/>
      <c r="AA330" s="27"/>
    </row>
    <row r="331" spans="1:44" x14ac:dyDescent="0.25">
      <c r="A331" s="5"/>
      <c r="B331" s="8"/>
      <c r="C331" s="8"/>
      <c r="D331" s="8"/>
      <c r="E331" s="8"/>
      <c r="F331" s="8"/>
      <c r="G331" s="5"/>
      <c r="H331" s="19"/>
      <c r="I331" s="19"/>
      <c r="J331" s="5"/>
      <c r="K331" s="10"/>
      <c r="L331" s="79"/>
      <c r="M331" s="79"/>
      <c r="N331" s="79"/>
      <c r="O331" s="79"/>
      <c r="P331" s="8"/>
      <c r="Q331" s="8"/>
      <c r="R331" s="8"/>
      <c r="S331" s="27"/>
      <c r="T331" s="8"/>
      <c r="U331" s="8"/>
      <c r="V331" s="8"/>
      <c r="W331" s="8"/>
      <c r="X331" s="8"/>
      <c r="Y331" s="8"/>
      <c r="Z331" s="8"/>
      <c r="AA331" s="27"/>
    </row>
    <row r="332" spans="1:44" x14ac:dyDescent="0.25">
      <c r="A332" s="5"/>
      <c r="B332" s="8"/>
      <c r="C332" s="8"/>
      <c r="D332" s="8"/>
      <c r="E332" s="8"/>
      <c r="F332" s="8"/>
      <c r="G332" s="5"/>
      <c r="H332" s="19"/>
      <c r="I332" s="19"/>
      <c r="J332" s="5"/>
      <c r="K332" s="10"/>
      <c r="L332" s="79"/>
      <c r="M332" s="79"/>
      <c r="N332" s="79"/>
      <c r="O332" s="79"/>
      <c r="P332" s="8"/>
      <c r="Q332" s="8"/>
      <c r="R332" s="8"/>
      <c r="S332" s="27"/>
      <c r="T332" s="8"/>
      <c r="U332" s="8"/>
      <c r="V332" s="8"/>
      <c r="W332" s="8"/>
      <c r="X332" s="8"/>
      <c r="Y332" s="8"/>
      <c r="Z332" s="8"/>
      <c r="AA332" s="27"/>
    </row>
    <row r="333" spans="1:44" x14ac:dyDescent="0.25">
      <c r="A333" s="5"/>
      <c r="B333" s="8"/>
      <c r="C333" s="8"/>
      <c r="D333" s="8"/>
      <c r="E333" s="8"/>
      <c r="F333" s="8"/>
      <c r="G333" s="5"/>
      <c r="H333" s="19"/>
      <c r="I333" s="19"/>
      <c r="J333" s="5"/>
      <c r="K333" s="6"/>
      <c r="L333" s="79"/>
      <c r="M333" s="79"/>
      <c r="N333" s="79"/>
      <c r="O333" s="79"/>
      <c r="P333" s="8"/>
      <c r="Q333" s="8"/>
      <c r="R333" s="8"/>
      <c r="S333" s="27"/>
      <c r="T333" s="8"/>
      <c r="U333" s="8"/>
      <c r="V333" s="8"/>
      <c r="W333" s="8"/>
      <c r="X333" s="8"/>
      <c r="Y333" s="8"/>
      <c r="Z333" s="8"/>
      <c r="AA333" s="27"/>
    </row>
    <row r="334" spans="1:44" x14ac:dyDescent="0.25">
      <c r="A334" s="5"/>
      <c r="B334" s="8"/>
      <c r="C334" s="8"/>
      <c r="D334" s="8"/>
      <c r="E334" s="8"/>
      <c r="F334" s="8"/>
      <c r="G334" s="5"/>
      <c r="H334" s="19"/>
      <c r="I334" s="19"/>
      <c r="J334" s="5"/>
      <c r="K334" s="6"/>
      <c r="L334" s="79"/>
      <c r="M334" s="79"/>
      <c r="N334" s="79"/>
      <c r="O334" s="79"/>
      <c r="P334" s="8"/>
      <c r="Q334" s="8"/>
      <c r="R334" s="8"/>
      <c r="S334" s="27"/>
      <c r="T334" s="8"/>
      <c r="U334" s="8"/>
      <c r="V334" s="8"/>
      <c r="W334" s="8"/>
      <c r="X334" s="8"/>
      <c r="Y334" s="8"/>
      <c r="Z334" s="8"/>
      <c r="AA334" s="27"/>
    </row>
    <row r="335" spans="1:44" x14ac:dyDescent="0.25">
      <c r="A335" s="5"/>
      <c r="B335" s="8"/>
      <c r="C335" s="8"/>
      <c r="D335" s="8"/>
      <c r="E335" s="8"/>
      <c r="F335" s="8"/>
      <c r="G335" s="5"/>
      <c r="H335" s="19"/>
      <c r="I335" s="19"/>
      <c r="J335" s="5"/>
      <c r="K335" s="6"/>
      <c r="L335" s="79"/>
      <c r="M335" s="79"/>
      <c r="N335" s="79"/>
      <c r="O335" s="79"/>
      <c r="P335" s="8"/>
      <c r="Q335" s="8"/>
      <c r="R335" s="8"/>
      <c r="S335" s="27"/>
      <c r="T335" s="8"/>
      <c r="U335" s="8"/>
      <c r="V335" s="8"/>
      <c r="W335" s="8"/>
      <c r="X335" s="8"/>
      <c r="Y335" s="8"/>
      <c r="Z335" s="8"/>
      <c r="AA335" s="27"/>
    </row>
    <row r="336" spans="1:44" x14ac:dyDescent="0.25">
      <c r="A336" s="5"/>
      <c r="B336" s="8"/>
      <c r="C336" s="8"/>
      <c r="D336" s="8"/>
      <c r="E336" s="8"/>
      <c r="F336" s="8"/>
      <c r="G336" s="5"/>
      <c r="H336" s="19"/>
      <c r="I336" s="19"/>
      <c r="J336" s="5"/>
      <c r="K336" s="6"/>
      <c r="L336" s="79"/>
      <c r="M336" s="79"/>
      <c r="N336" s="79"/>
      <c r="O336" s="79"/>
      <c r="P336" s="8"/>
      <c r="Q336" s="8"/>
      <c r="R336" s="8"/>
      <c r="S336" s="27"/>
      <c r="T336" s="8"/>
      <c r="U336" s="8"/>
      <c r="V336" s="8"/>
      <c r="W336" s="8"/>
      <c r="X336" s="8"/>
      <c r="Y336" s="8"/>
      <c r="Z336" s="8"/>
      <c r="AA336" s="27"/>
    </row>
    <row r="337" spans="1:27" x14ac:dyDescent="0.25">
      <c r="A337" s="5"/>
      <c r="B337" s="8"/>
      <c r="C337" s="8"/>
      <c r="D337" s="8"/>
      <c r="E337" s="8"/>
      <c r="F337" s="8"/>
      <c r="G337" s="5"/>
      <c r="H337" s="19"/>
      <c r="I337" s="19"/>
      <c r="J337" s="5"/>
      <c r="K337" s="6"/>
      <c r="L337" s="79"/>
      <c r="M337" s="79"/>
      <c r="N337" s="79"/>
      <c r="O337" s="79"/>
      <c r="P337" s="8"/>
      <c r="Q337" s="8"/>
      <c r="R337" s="8"/>
      <c r="S337" s="27"/>
      <c r="T337" s="8"/>
      <c r="U337" s="8"/>
      <c r="V337" s="8"/>
      <c r="W337" s="8"/>
      <c r="X337" s="8"/>
      <c r="Y337" s="8"/>
      <c r="Z337" s="8"/>
      <c r="AA337" s="27"/>
    </row>
    <row r="338" spans="1:27" x14ac:dyDescent="0.25">
      <c r="A338" s="5"/>
      <c r="B338" s="8"/>
      <c r="C338" s="8"/>
      <c r="D338" s="8"/>
      <c r="E338" s="8"/>
      <c r="F338" s="8"/>
      <c r="G338" s="5"/>
      <c r="H338" s="19"/>
      <c r="I338" s="19"/>
      <c r="J338" s="5"/>
      <c r="K338" s="6"/>
      <c r="L338" s="79"/>
      <c r="M338" s="79"/>
      <c r="N338" s="79"/>
      <c r="O338" s="79"/>
      <c r="P338" s="8"/>
      <c r="Q338" s="8"/>
      <c r="R338" s="8"/>
      <c r="S338" s="27"/>
      <c r="T338" s="8"/>
      <c r="U338" s="8"/>
      <c r="V338" s="8"/>
      <c r="W338" s="8"/>
      <c r="X338" s="8"/>
      <c r="Y338" s="8"/>
      <c r="Z338" s="8"/>
      <c r="AA338" s="27"/>
    </row>
    <row r="339" spans="1:27" x14ac:dyDescent="0.25">
      <c r="A339" s="5"/>
      <c r="B339" s="8"/>
      <c r="C339" s="8"/>
      <c r="D339" s="8"/>
      <c r="E339" s="8"/>
      <c r="F339" s="8"/>
      <c r="G339" s="5"/>
      <c r="H339" s="19"/>
      <c r="I339" s="19"/>
      <c r="J339" s="5"/>
      <c r="K339" s="6"/>
      <c r="L339" s="79"/>
      <c r="M339" s="79"/>
      <c r="N339" s="79"/>
      <c r="O339" s="79"/>
      <c r="P339" s="8"/>
      <c r="Q339" s="8"/>
      <c r="R339" s="8"/>
      <c r="S339" s="27"/>
      <c r="T339" s="8"/>
      <c r="U339" s="8"/>
      <c r="V339" s="8"/>
      <c r="W339" s="8"/>
      <c r="X339" s="8"/>
      <c r="Y339" s="8"/>
      <c r="Z339" s="8"/>
      <c r="AA339" s="27"/>
    </row>
    <row r="340" spans="1:27" x14ac:dyDescent="0.25">
      <c r="A340" s="5"/>
      <c r="B340" s="8"/>
      <c r="C340" s="8"/>
      <c r="D340" s="8"/>
      <c r="E340" s="8"/>
      <c r="F340" s="8"/>
      <c r="G340" s="5"/>
      <c r="H340" s="19"/>
      <c r="I340" s="19"/>
      <c r="J340" s="5"/>
      <c r="K340" s="6"/>
      <c r="L340" s="79"/>
      <c r="M340" s="79"/>
      <c r="N340" s="79"/>
      <c r="O340" s="79"/>
      <c r="P340" s="8"/>
      <c r="Q340" s="8"/>
      <c r="R340" s="8"/>
      <c r="S340" s="27"/>
      <c r="T340" s="8"/>
      <c r="U340" s="8"/>
      <c r="V340" s="8"/>
      <c r="W340" s="8"/>
      <c r="X340" s="8"/>
      <c r="Y340" s="8"/>
      <c r="Z340" s="8"/>
      <c r="AA340" s="27"/>
    </row>
    <row r="341" spans="1:27" x14ac:dyDescent="0.25">
      <c r="A341" s="5"/>
      <c r="B341" s="8"/>
      <c r="C341" s="8"/>
      <c r="D341" s="8"/>
      <c r="E341" s="8"/>
      <c r="F341" s="8"/>
      <c r="G341" s="5"/>
      <c r="H341" s="19"/>
      <c r="I341" s="19"/>
      <c r="J341" s="5"/>
      <c r="K341" s="6"/>
      <c r="L341" s="79"/>
      <c r="M341" s="79"/>
      <c r="N341" s="79"/>
      <c r="O341" s="79"/>
      <c r="P341" s="8"/>
      <c r="Q341" s="8"/>
      <c r="R341" s="8"/>
      <c r="S341" s="27"/>
      <c r="T341" s="8"/>
      <c r="U341" s="8"/>
      <c r="V341" s="8"/>
      <c r="W341" s="8"/>
      <c r="X341" s="8"/>
      <c r="Y341" s="8"/>
      <c r="Z341" s="8"/>
      <c r="AA341" s="27"/>
    </row>
    <row r="342" spans="1:27" x14ac:dyDescent="0.25">
      <c r="A342" s="5"/>
      <c r="B342" s="8"/>
      <c r="C342" s="8"/>
      <c r="D342" s="8"/>
      <c r="E342" s="8"/>
      <c r="F342" s="8"/>
      <c r="G342" s="5"/>
      <c r="H342" s="19"/>
      <c r="I342" s="19"/>
      <c r="J342" s="5"/>
      <c r="K342" s="6"/>
      <c r="L342" s="79"/>
      <c r="M342" s="79"/>
      <c r="N342" s="79"/>
      <c r="O342" s="79"/>
      <c r="P342" s="8"/>
      <c r="Q342" s="8"/>
      <c r="R342" s="8"/>
      <c r="S342" s="27"/>
      <c r="T342" s="8"/>
      <c r="U342" s="8"/>
      <c r="V342" s="8"/>
      <c r="W342" s="8"/>
      <c r="X342" s="8"/>
      <c r="Y342" s="8"/>
      <c r="Z342" s="8"/>
      <c r="AA342" s="27"/>
    </row>
    <row r="343" spans="1:27" x14ac:dyDescent="0.25">
      <c r="A343" s="5"/>
      <c r="B343" s="8"/>
      <c r="C343" s="8"/>
      <c r="D343" s="8"/>
      <c r="E343" s="8"/>
      <c r="F343" s="8"/>
      <c r="G343" s="5"/>
      <c r="H343" s="19"/>
      <c r="I343" s="19"/>
      <c r="J343" s="5"/>
      <c r="K343" s="6"/>
      <c r="L343" s="79"/>
      <c r="M343" s="79"/>
      <c r="N343" s="79"/>
      <c r="O343" s="79"/>
      <c r="P343" s="8"/>
      <c r="Q343" s="8"/>
      <c r="R343" s="8"/>
      <c r="S343" s="27"/>
      <c r="T343" s="8"/>
      <c r="U343" s="8"/>
      <c r="V343" s="8"/>
      <c r="W343" s="8"/>
      <c r="X343" s="8"/>
      <c r="Y343" s="8"/>
      <c r="Z343" s="8"/>
      <c r="AA343" s="27"/>
    </row>
    <row r="344" spans="1:27" x14ac:dyDescent="0.25">
      <c r="A344" s="5"/>
      <c r="B344" s="8"/>
      <c r="C344" s="8"/>
      <c r="D344" s="8"/>
      <c r="E344" s="8"/>
      <c r="F344" s="8"/>
      <c r="G344" s="5"/>
      <c r="H344" s="19"/>
      <c r="I344" s="19"/>
      <c r="J344" s="5"/>
      <c r="K344" s="6"/>
      <c r="L344" s="79"/>
      <c r="M344" s="79"/>
      <c r="N344" s="79"/>
      <c r="O344" s="79"/>
      <c r="P344" s="8"/>
      <c r="Q344" s="8"/>
      <c r="R344" s="8"/>
      <c r="S344" s="27"/>
      <c r="T344" s="8"/>
      <c r="U344" s="8"/>
      <c r="V344" s="8"/>
      <c r="W344" s="8"/>
      <c r="X344" s="8"/>
      <c r="Y344" s="8"/>
      <c r="Z344" s="8"/>
      <c r="AA344" s="27"/>
    </row>
    <row r="345" spans="1:27" x14ac:dyDescent="0.25">
      <c r="A345" s="5"/>
      <c r="B345" s="8"/>
      <c r="C345" s="8"/>
      <c r="D345" s="8"/>
      <c r="E345" s="8"/>
      <c r="F345" s="8"/>
      <c r="G345" s="5"/>
      <c r="H345" s="19"/>
      <c r="I345" s="19"/>
      <c r="J345" s="5"/>
      <c r="K345" s="6"/>
      <c r="L345" s="79"/>
      <c r="M345" s="79"/>
      <c r="N345" s="79"/>
      <c r="O345" s="79"/>
      <c r="P345" s="8"/>
      <c r="Q345" s="8"/>
      <c r="R345" s="8"/>
      <c r="S345" s="27"/>
      <c r="T345" s="8"/>
      <c r="U345" s="8"/>
      <c r="V345" s="8"/>
      <c r="W345" s="8"/>
      <c r="X345" s="8"/>
      <c r="Y345" s="8"/>
      <c r="Z345" s="8"/>
      <c r="AA345" s="27"/>
    </row>
    <row r="346" spans="1:27" x14ac:dyDescent="0.25">
      <c r="A346" s="5"/>
      <c r="B346" s="8"/>
      <c r="C346" s="8"/>
      <c r="D346" s="8"/>
      <c r="E346" s="8"/>
      <c r="F346" s="8"/>
      <c r="G346" s="5"/>
      <c r="H346" s="19"/>
      <c r="I346" s="19"/>
      <c r="J346" s="5"/>
      <c r="K346" s="6"/>
      <c r="L346" s="79"/>
      <c r="M346" s="79"/>
      <c r="N346" s="79"/>
      <c r="O346" s="79"/>
      <c r="P346" s="8"/>
      <c r="Q346" s="8"/>
      <c r="R346" s="8"/>
      <c r="S346" s="27"/>
      <c r="T346" s="8"/>
      <c r="U346" s="8"/>
      <c r="V346" s="8"/>
      <c r="W346" s="8"/>
      <c r="X346" s="8"/>
      <c r="Y346" s="8"/>
      <c r="Z346" s="8"/>
      <c r="AA346" s="27"/>
    </row>
    <row r="347" spans="1:27" x14ac:dyDescent="0.25">
      <c r="A347" s="5"/>
      <c r="B347" s="8"/>
      <c r="C347" s="8"/>
      <c r="D347" s="8"/>
      <c r="E347" s="8"/>
      <c r="F347" s="8"/>
      <c r="G347" s="5"/>
      <c r="H347" s="19"/>
      <c r="I347" s="19"/>
      <c r="J347" s="5"/>
      <c r="K347" s="6"/>
      <c r="L347" s="79"/>
      <c r="M347" s="79"/>
      <c r="N347" s="79"/>
      <c r="O347" s="79"/>
      <c r="P347" s="8"/>
      <c r="Q347" s="8"/>
      <c r="R347" s="8"/>
      <c r="S347" s="27"/>
      <c r="T347" s="8"/>
      <c r="U347" s="8"/>
      <c r="V347" s="8"/>
      <c r="W347" s="8"/>
      <c r="X347" s="8"/>
      <c r="Y347" s="8"/>
      <c r="Z347" s="8"/>
      <c r="AA347" s="27"/>
    </row>
    <row r="348" spans="1:27" x14ac:dyDescent="0.25">
      <c r="A348" s="5"/>
      <c r="B348" s="8"/>
      <c r="C348" s="8"/>
      <c r="D348" s="8"/>
      <c r="E348" s="8"/>
      <c r="F348" s="8"/>
      <c r="G348" s="5"/>
      <c r="H348" s="19"/>
      <c r="I348" s="19"/>
      <c r="J348" s="5"/>
      <c r="K348" s="6"/>
      <c r="L348" s="79"/>
      <c r="M348" s="79"/>
      <c r="N348" s="79"/>
      <c r="O348" s="79"/>
      <c r="P348" s="8"/>
      <c r="Q348" s="8"/>
      <c r="R348" s="8"/>
      <c r="S348" s="27"/>
      <c r="T348" s="8"/>
      <c r="U348" s="8"/>
      <c r="V348" s="8"/>
      <c r="W348" s="8"/>
      <c r="X348" s="8"/>
      <c r="Y348" s="8"/>
      <c r="Z348" s="8"/>
      <c r="AA348" s="27"/>
    </row>
    <row r="349" spans="1:27" x14ac:dyDescent="0.25">
      <c r="A349" s="5"/>
      <c r="B349" s="8"/>
      <c r="C349" s="8"/>
      <c r="D349" s="8"/>
      <c r="E349" s="8"/>
      <c r="F349" s="8"/>
      <c r="G349" s="5"/>
      <c r="H349" s="19"/>
      <c r="I349" s="19"/>
      <c r="J349" s="5"/>
      <c r="K349" s="6"/>
      <c r="L349" s="79"/>
      <c r="M349" s="79"/>
      <c r="N349" s="79"/>
      <c r="O349" s="79"/>
      <c r="P349" s="8"/>
      <c r="Q349" s="8"/>
      <c r="R349" s="8"/>
      <c r="S349" s="27"/>
      <c r="T349" s="8"/>
      <c r="U349" s="8"/>
      <c r="V349" s="8"/>
      <c r="W349" s="8"/>
      <c r="X349" s="8"/>
      <c r="Y349" s="8"/>
      <c r="Z349" s="8"/>
      <c r="AA349" s="27"/>
    </row>
    <row r="350" spans="1:27" x14ac:dyDescent="0.25">
      <c r="A350" s="5"/>
      <c r="B350" s="8"/>
      <c r="C350" s="8"/>
      <c r="D350" s="8"/>
      <c r="E350" s="8"/>
      <c r="F350" s="8"/>
      <c r="G350" s="5"/>
      <c r="H350" s="19"/>
      <c r="I350" s="19"/>
      <c r="J350" s="5"/>
      <c r="K350" s="6"/>
      <c r="L350" s="79"/>
      <c r="M350" s="79"/>
      <c r="N350" s="79"/>
      <c r="O350" s="79"/>
      <c r="P350" s="8"/>
      <c r="Q350" s="8"/>
      <c r="R350" s="8"/>
      <c r="S350" s="27"/>
      <c r="T350" s="8"/>
      <c r="U350" s="8"/>
      <c r="V350" s="8"/>
      <c r="W350" s="8"/>
      <c r="X350" s="8"/>
      <c r="Y350" s="8"/>
      <c r="Z350" s="8"/>
      <c r="AA350" s="27"/>
    </row>
    <row r="351" spans="1:27" x14ac:dyDescent="0.25">
      <c r="A351" s="5"/>
      <c r="B351" s="8"/>
      <c r="C351" s="8"/>
      <c r="D351" s="8"/>
      <c r="E351" s="8"/>
      <c r="F351" s="8"/>
      <c r="G351" s="5"/>
      <c r="H351" s="19"/>
      <c r="I351" s="19"/>
      <c r="J351" s="5"/>
      <c r="K351" s="6"/>
      <c r="L351" s="79"/>
      <c r="M351" s="79"/>
      <c r="N351" s="79"/>
      <c r="O351" s="79"/>
      <c r="P351" s="8"/>
      <c r="Q351" s="8"/>
      <c r="R351" s="8"/>
      <c r="S351" s="27"/>
      <c r="T351" s="8"/>
      <c r="U351" s="8"/>
      <c r="V351" s="8"/>
      <c r="W351" s="8"/>
      <c r="X351" s="8"/>
      <c r="Y351" s="8"/>
      <c r="Z351" s="8"/>
      <c r="AA351" s="27"/>
    </row>
    <row r="352" spans="1:27" x14ac:dyDescent="0.25">
      <c r="A352" s="5"/>
      <c r="B352" s="8"/>
      <c r="C352" s="8"/>
      <c r="D352" s="8"/>
      <c r="E352" s="8"/>
      <c r="F352" s="8"/>
      <c r="G352" s="5"/>
      <c r="H352" s="19"/>
      <c r="I352" s="19"/>
      <c r="J352" s="5"/>
      <c r="K352" s="6"/>
      <c r="L352" s="79"/>
      <c r="M352" s="79"/>
      <c r="N352" s="79"/>
      <c r="O352" s="79"/>
      <c r="P352" s="8"/>
      <c r="Q352" s="8"/>
      <c r="R352" s="8"/>
      <c r="S352" s="27"/>
      <c r="T352" s="8"/>
      <c r="U352" s="8"/>
      <c r="V352" s="8"/>
      <c r="W352" s="8"/>
      <c r="X352" s="8"/>
      <c r="Y352" s="8"/>
      <c r="Z352" s="8"/>
      <c r="AA352" s="27"/>
    </row>
    <row r="353" spans="1:27" x14ac:dyDescent="0.25">
      <c r="A353" s="5"/>
      <c r="B353" s="8"/>
      <c r="C353" s="8"/>
      <c r="D353" s="8"/>
      <c r="E353" s="8"/>
      <c r="F353" s="8"/>
      <c r="G353" s="5"/>
      <c r="H353" s="19"/>
      <c r="I353" s="19"/>
      <c r="J353" s="5"/>
      <c r="K353" s="6"/>
      <c r="L353" s="79"/>
      <c r="M353" s="79"/>
      <c r="N353" s="79"/>
      <c r="O353" s="79"/>
      <c r="P353" s="8"/>
      <c r="Q353" s="8"/>
      <c r="R353" s="8"/>
      <c r="S353" s="27"/>
      <c r="T353" s="8"/>
      <c r="U353" s="8"/>
      <c r="V353" s="8"/>
      <c r="W353" s="8"/>
      <c r="X353" s="8"/>
      <c r="Y353" s="8"/>
      <c r="Z353" s="8"/>
      <c r="AA353" s="27"/>
    </row>
    <row r="354" spans="1:27" x14ac:dyDescent="0.25">
      <c r="A354" s="6"/>
      <c r="G354" s="6"/>
      <c r="J354" s="6"/>
      <c r="K354" s="6"/>
      <c r="L354" s="80"/>
      <c r="M354" s="80"/>
      <c r="N354" s="80"/>
      <c r="O354" s="80"/>
      <c r="S354" s="28"/>
      <c r="AA354" s="28"/>
    </row>
    <row r="355" spans="1:27" x14ac:dyDescent="0.25">
      <c r="A355" s="6"/>
      <c r="G355" s="6"/>
      <c r="J355" s="6"/>
      <c r="K355" s="6"/>
      <c r="L355" s="80"/>
      <c r="M355" s="80"/>
      <c r="N355" s="80"/>
      <c r="O355" s="80"/>
      <c r="S355" s="28"/>
      <c r="AA355" s="28"/>
    </row>
    <row r="356" spans="1:27" x14ac:dyDescent="0.25">
      <c r="A356" s="6"/>
      <c r="G356" s="6"/>
      <c r="J356" s="6"/>
      <c r="K356" s="6"/>
      <c r="L356" s="80"/>
      <c r="M356" s="80"/>
      <c r="N356" s="80"/>
      <c r="O356" s="80"/>
      <c r="S356" s="28"/>
      <c r="AA356" s="28"/>
    </row>
    <row r="357" spans="1:27" x14ac:dyDescent="0.25">
      <c r="A357" s="6"/>
      <c r="G357" s="6"/>
      <c r="J357" s="6"/>
      <c r="K357" s="6"/>
      <c r="L357" s="80"/>
      <c r="M357" s="80"/>
      <c r="N357" s="80"/>
      <c r="O357" s="80"/>
      <c r="S357" s="28"/>
      <c r="AA357" s="28"/>
    </row>
    <row r="358" spans="1:27" x14ac:dyDescent="0.25">
      <c r="A358" s="6"/>
      <c r="G358" s="6"/>
      <c r="J358" s="6"/>
      <c r="K358" s="6"/>
      <c r="L358" s="80"/>
      <c r="M358" s="80"/>
      <c r="N358" s="80"/>
      <c r="O358" s="80"/>
      <c r="S358" s="28"/>
      <c r="AA358" s="28"/>
    </row>
    <row r="359" spans="1:27" x14ac:dyDescent="0.25">
      <c r="A359" s="6"/>
      <c r="G359" s="6"/>
      <c r="J359" s="6"/>
      <c r="K359" s="6"/>
      <c r="L359" s="80"/>
      <c r="M359" s="80"/>
      <c r="N359" s="80"/>
      <c r="O359" s="80"/>
      <c r="S359" s="28"/>
      <c r="AA359" s="28"/>
    </row>
    <row r="360" spans="1:27" x14ac:dyDescent="0.25">
      <c r="A360" s="6"/>
      <c r="G360" s="6"/>
      <c r="J360" s="6"/>
      <c r="K360" s="6"/>
      <c r="L360" s="80"/>
      <c r="M360" s="80"/>
      <c r="N360" s="80"/>
      <c r="O360" s="80"/>
      <c r="S360" s="28"/>
      <c r="AA360" s="28"/>
    </row>
    <row r="361" spans="1:27" x14ac:dyDescent="0.25">
      <c r="A361" s="6"/>
      <c r="G361" s="6"/>
      <c r="J361" s="6"/>
      <c r="K361" s="6"/>
      <c r="L361" s="80"/>
      <c r="M361" s="80"/>
      <c r="N361" s="80"/>
      <c r="O361" s="80"/>
      <c r="S361" s="28"/>
      <c r="AA361" s="28"/>
    </row>
    <row r="362" spans="1:27" x14ac:dyDescent="0.25">
      <c r="A362" s="6"/>
      <c r="G362" s="6"/>
      <c r="J362" s="6"/>
      <c r="K362" s="6"/>
      <c r="L362" s="80"/>
      <c r="M362" s="80"/>
      <c r="N362" s="80"/>
      <c r="O362" s="80"/>
      <c r="S362" s="28"/>
      <c r="AA362" s="28"/>
    </row>
    <row r="363" spans="1:27" x14ac:dyDescent="0.25">
      <c r="A363" s="6"/>
      <c r="G363" s="6"/>
      <c r="J363" s="6"/>
      <c r="K363" s="6"/>
      <c r="L363" s="80"/>
      <c r="M363" s="80"/>
      <c r="N363" s="80"/>
      <c r="O363" s="80"/>
      <c r="S363" s="28"/>
      <c r="AA363" s="28"/>
    </row>
    <row r="364" spans="1:27" x14ac:dyDescent="0.25">
      <c r="L364" s="80"/>
      <c r="M364" s="80"/>
      <c r="N364" s="80"/>
      <c r="O364" s="80"/>
      <c r="S364" s="28"/>
      <c r="AA364" s="28"/>
    </row>
    <row r="365" spans="1:27" x14ac:dyDescent="0.25">
      <c r="L365" s="80"/>
      <c r="M365" s="80"/>
      <c r="N365" s="80"/>
      <c r="O365" s="80"/>
      <c r="S365" s="28"/>
      <c r="AA365" s="28"/>
    </row>
    <row r="366" spans="1:27" x14ac:dyDescent="0.25">
      <c r="L366" s="80"/>
      <c r="M366" s="80"/>
      <c r="N366" s="80"/>
      <c r="O366" s="80"/>
      <c r="S366" s="28"/>
      <c r="AA366" s="28"/>
    </row>
    <row r="367" spans="1:27" x14ac:dyDescent="0.25">
      <c r="L367" s="80"/>
      <c r="M367" s="80"/>
      <c r="N367" s="80"/>
      <c r="O367" s="80"/>
      <c r="S367" s="28"/>
      <c r="AA367" s="28"/>
    </row>
    <row r="368" spans="1:27" x14ac:dyDescent="0.25">
      <c r="L368" s="80"/>
      <c r="M368" s="80"/>
      <c r="N368" s="80"/>
      <c r="O368" s="80"/>
      <c r="S368" s="28"/>
      <c r="AA368" s="28"/>
    </row>
    <row r="369" spans="12:27" x14ac:dyDescent="0.25">
      <c r="L369" s="80"/>
      <c r="M369" s="80"/>
      <c r="N369" s="80"/>
      <c r="O369" s="80"/>
      <c r="S369" s="28"/>
      <c r="AA369" s="28"/>
    </row>
    <row r="370" spans="12:27" x14ac:dyDescent="0.25">
      <c r="L370" s="80"/>
      <c r="M370" s="80"/>
      <c r="N370" s="80"/>
      <c r="O370" s="80"/>
      <c r="S370" s="28"/>
      <c r="AA370" s="28"/>
    </row>
    <row r="371" spans="12:27" x14ac:dyDescent="0.25">
      <c r="L371" s="80"/>
      <c r="M371" s="80"/>
      <c r="N371" s="80"/>
      <c r="O371" s="80"/>
      <c r="S371" s="28"/>
      <c r="AA371" s="28"/>
    </row>
    <row r="372" spans="12:27" x14ac:dyDescent="0.25">
      <c r="L372" s="80"/>
      <c r="M372" s="80"/>
      <c r="N372" s="80"/>
      <c r="O372" s="80"/>
      <c r="S372" s="28"/>
      <c r="AA372" s="28"/>
    </row>
    <row r="373" spans="12:27" x14ac:dyDescent="0.25">
      <c r="L373" s="80"/>
      <c r="M373" s="80"/>
      <c r="N373" s="80"/>
      <c r="O373" s="80"/>
      <c r="S373" s="28"/>
      <c r="AA373" s="28"/>
    </row>
    <row r="374" spans="12:27" x14ac:dyDescent="0.25">
      <c r="L374" s="80"/>
      <c r="M374" s="80"/>
      <c r="N374" s="80"/>
      <c r="O374" s="80"/>
      <c r="S374" s="28"/>
      <c r="AA374" s="28"/>
    </row>
    <row r="375" spans="12:27" x14ac:dyDescent="0.25">
      <c r="L375" s="80"/>
      <c r="M375" s="80"/>
      <c r="N375" s="80"/>
      <c r="O375" s="80"/>
      <c r="S375" s="28"/>
      <c r="AA375" s="28"/>
    </row>
    <row r="376" spans="12:27" x14ac:dyDescent="0.25">
      <c r="L376" s="80"/>
      <c r="M376" s="80"/>
      <c r="N376" s="80"/>
      <c r="O376" s="80"/>
      <c r="S376" s="28"/>
      <c r="AA376" s="28"/>
    </row>
    <row r="377" spans="12:27" x14ac:dyDescent="0.25">
      <c r="L377" s="80"/>
      <c r="M377" s="80"/>
      <c r="N377" s="80"/>
      <c r="O377" s="80"/>
      <c r="S377" s="28"/>
      <c r="AA377" s="28"/>
    </row>
    <row r="378" spans="12:27" x14ac:dyDescent="0.25">
      <c r="L378" s="80"/>
      <c r="M378" s="80"/>
      <c r="N378" s="80"/>
      <c r="O378" s="80"/>
      <c r="S378" s="28"/>
      <c r="AA378" s="28"/>
    </row>
    <row r="379" spans="12:27" x14ac:dyDescent="0.25">
      <c r="L379" s="80"/>
      <c r="M379" s="80"/>
      <c r="N379" s="80"/>
      <c r="O379" s="80"/>
      <c r="S379" s="28"/>
      <c r="AA379" s="28"/>
    </row>
    <row r="380" spans="12:27" x14ac:dyDescent="0.25">
      <c r="L380" s="80"/>
      <c r="M380" s="80"/>
      <c r="N380" s="80"/>
      <c r="O380" s="80"/>
      <c r="S380" s="28"/>
      <c r="AA380" s="28"/>
    </row>
    <row r="381" spans="12:27" x14ac:dyDescent="0.25">
      <c r="L381" s="80"/>
      <c r="M381" s="80"/>
      <c r="N381" s="80"/>
      <c r="O381" s="80"/>
      <c r="S381" s="28"/>
      <c r="AA381" s="28"/>
    </row>
    <row r="382" spans="12:27" x14ac:dyDescent="0.25">
      <c r="L382" s="80"/>
      <c r="M382" s="80"/>
      <c r="N382" s="80"/>
      <c r="O382" s="80"/>
      <c r="S382" s="28"/>
      <c r="AA382" s="28"/>
    </row>
    <row r="383" spans="12:27" x14ac:dyDescent="0.25">
      <c r="L383" s="80"/>
      <c r="M383" s="80"/>
      <c r="N383" s="80"/>
      <c r="O383" s="80"/>
      <c r="S383" s="28"/>
      <c r="AA383" s="28"/>
    </row>
    <row r="384" spans="12:27" x14ac:dyDescent="0.25">
      <c r="L384" s="80"/>
      <c r="M384" s="80"/>
      <c r="N384" s="80"/>
      <c r="O384" s="80"/>
      <c r="S384" s="28"/>
      <c r="AA384" s="28"/>
    </row>
    <row r="385" spans="12:27" x14ac:dyDescent="0.25">
      <c r="L385" s="80"/>
      <c r="M385" s="80"/>
      <c r="N385" s="80"/>
      <c r="O385" s="80"/>
      <c r="S385" s="28"/>
      <c r="AA385" s="28"/>
    </row>
    <row r="386" spans="12:27" x14ac:dyDescent="0.25">
      <c r="L386" s="80"/>
      <c r="M386" s="80"/>
      <c r="N386" s="80"/>
      <c r="O386" s="80"/>
      <c r="S386" s="28"/>
      <c r="AA386" s="28"/>
    </row>
    <row r="387" spans="12:27" x14ac:dyDescent="0.25">
      <c r="L387" s="80"/>
      <c r="M387" s="80"/>
      <c r="N387" s="80"/>
      <c r="O387" s="80"/>
      <c r="S387" s="28"/>
      <c r="AA387" s="28"/>
    </row>
    <row r="388" spans="12:27" x14ac:dyDescent="0.25">
      <c r="L388" s="80"/>
      <c r="M388" s="80"/>
      <c r="N388" s="80"/>
      <c r="O388" s="80"/>
      <c r="S388" s="28"/>
      <c r="AA388" s="28"/>
    </row>
    <row r="389" spans="12:27" x14ac:dyDescent="0.25">
      <c r="L389" s="80"/>
      <c r="M389" s="80"/>
      <c r="N389" s="80"/>
      <c r="O389" s="80"/>
      <c r="S389" s="28"/>
      <c r="AA389" s="28"/>
    </row>
    <row r="390" spans="12:27" x14ac:dyDescent="0.25">
      <c r="L390" s="80"/>
      <c r="M390" s="80"/>
      <c r="N390" s="80"/>
      <c r="O390" s="80"/>
      <c r="S390" s="28"/>
      <c r="AA390" s="28"/>
    </row>
    <row r="391" spans="12:27" x14ac:dyDescent="0.25">
      <c r="L391" s="80"/>
      <c r="M391" s="80"/>
      <c r="N391" s="80"/>
      <c r="O391" s="80"/>
      <c r="S391" s="28"/>
      <c r="AA391" s="28"/>
    </row>
    <row r="392" spans="12:27" x14ac:dyDescent="0.25">
      <c r="L392" s="80"/>
      <c r="M392" s="80"/>
      <c r="N392" s="80"/>
      <c r="O392" s="80"/>
      <c r="S392" s="28"/>
      <c r="AA392" s="28"/>
    </row>
    <row r="393" spans="12:27" x14ac:dyDescent="0.25">
      <c r="L393" s="80"/>
      <c r="M393" s="80"/>
      <c r="N393" s="80"/>
      <c r="O393" s="80"/>
      <c r="S393" s="28"/>
      <c r="AA393" s="28"/>
    </row>
    <row r="394" spans="12:27" x14ac:dyDescent="0.25">
      <c r="L394" s="80"/>
      <c r="M394" s="80"/>
      <c r="N394" s="80"/>
      <c r="O394" s="80"/>
      <c r="S394" s="28"/>
      <c r="AA394" s="28"/>
    </row>
    <row r="395" spans="12:27" x14ac:dyDescent="0.25">
      <c r="L395" s="80"/>
      <c r="M395" s="80"/>
      <c r="N395" s="80"/>
      <c r="O395" s="80"/>
      <c r="S395" s="28"/>
      <c r="AA395" s="28"/>
    </row>
    <row r="396" spans="12:27" x14ac:dyDescent="0.25">
      <c r="L396" s="80"/>
      <c r="M396" s="80"/>
      <c r="N396" s="80"/>
      <c r="O396" s="80"/>
      <c r="S396" s="28"/>
      <c r="AA396" s="28"/>
    </row>
    <row r="397" spans="12:27" x14ac:dyDescent="0.25">
      <c r="L397" s="80"/>
      <c r="M397" s="80"/>
      <c r="N397" s="80"/>
      <c r="O397" s="80"/>
      <c r="S397" s="28"/>
      <c r="AA397" s="28"/>
    </row>
    <row r="398" spans="12:27" x14ac:dyDescent="0.25">
      <c r="L398" s="80"/>
      <c r="M398" s="80"/>
      <c r="N398" s="80"/>
      <c r="O398" s="80"/>
      <c r="S398" s="28"/>
      <c r="AA398" s="28"/>
    </row>
    <row r="399" spans="12:27" x14ac:dyDescent="0.25">
      <c r="L399" s="80"/>
      <c r="M399" s="80"/>
      <c r="N399" s="80"/>
      <c r="O399" s="80"/>
      <c r="S399" s="28"/>
      <c r="AA399" s="28"/>
    </row>
    <row r="400" spans="12:27" x14ac:dyDescent="0.25">
      <c r="L400" s="80"/>
      <c r="M400" s="80"/>
      <c r="N400" s="80"/>
      <c r="O400" s="80"/>
      <c r="S400" s="28"/>
      <c r="AA400" s="28"/>
    </row>
    <row r="401" spans="12:27" x14ac:dyDescent="0.25">
      <c r="L401" s="80"/>
      <c r="M401" s="80"/>
      <c r="N401" s="80"/>
      <c r="O401" s="80"/>
      <c r="S401" s="28"/>
      <c r="AA401" s="28"/>
    </row>
    <row r="402" spans="12:27" x14ac:dyDescent="0.25">
      <c r="L402" s="80"/>
      <c r="M402" s="80"/>
      <c r="N402" s="80"/>
      <c r="O402" s="80"/>
      <c r="S402" s="28"/>
      <c r="AA402" s="28"/>
    </row>
    <row r="403" spans="12:27" x14ac:dyDescent="0.25">
      <c r="L403" s="80"/>
      <c r="M403" s="80"/>
      <c r="N403" s="80"/>
      <c r="O403" s="80"/>
      <c r="S403" s="28"/>
      <c r="AA403" s="28"/>
    </row>
    <row r="404" spans="12:27" x14ac:dyDescent="0.25">
      <c r="L404" s="80"/>
      <c r="M404" s="80"/>
      <c r="N404" s="80"/>
      <c r="O404" s="80"/>
      <c r="S404" s="28"/>
      <c r="AA404" s="28"/>
    </row>
    <row r="405" spans="12:27" x14ac:dyDescent="0.25">
      <c r="L405" s="80"/>
      <c r="M405" s="80"/>
      <c r="N405" s="80"/>
      <c r="O405" s="80"/>
      <c r="S405" s="28"/>
      <c r="AA405" s="28"/>
    </row>
    <row r="406" spans="12:27" x14ac:dyDescent="0.25">
      <c r="S406" s="28"/>
      <c r="AA406" s="28"/>
    </row>
    <row r="407" spans="12:27" x14ac:dyDescent="0.25">
      <c r="S407" s="28"/>
      <c r="AA407" s="28"/>
    </row>
    <row r="408" spans="12:27" x14ac:dyDescent="0.25">
      <c r="S408" s="28"/>
      <c r="AA408" s="28"/>
    </row>
    <row r="409" spans="12:27" x14ac:dyDescent="0.25">
      <c r="S409" s="28"/>
      <c r="AA409" s="28"/>
    </row>
    <row r="410" spans="12:27" x14ac:dyDescent="0.25">
      <c r="S410" s="28"/>
      <c r="AA410" s="28"/>
    </row>
    <row r="411" spans="12:27" x14ac:dyDescent="0.25">
      <c r="S411" s="28"/>
      <c r="AA411" s="28"/>
    </row>
    <row r="412" spans="12:27" x14ac:dyDescent="0.25">
      <c r="S412" s="28"/>
      <c r="AA412" s="28"/>
    </row>
    <row r="413" spans="12:27" x14ac:dyDescent="0.25">
      <c r="S413" s="28"/>
      <c r="AA413" s="28"/>
    </row>
    <row r="414" spans="12:27" x14ac:dyDescent="0.25">
      <c r="S414" s="28"/>
      <c r="AA414" s="28"/>
    </row>
    <row r="415" spans="12:27" x14ac:dyDescent="0.25">
      <c r="S415" s="28"/>
      <c r="AA415" s="28"/>
    </row>
    <row r="416" spans="12:27" x14ac:dyDescent="0.25">
      <c r="S416" s="28"/>
      <c r="AA416" s="28"/>
    </row>
    <row r="417" spans="19:27" x14ac:dyDescent="0.25">
      <c r="S417" s="28"/>
      <c r="AA417" s="28"/>
    </row>
    <row r="418" spans="19:27" x14ac:dyDescent="0.25">
      <c r="S418" s="28"/>
      <c r="AA418" s="28"/>
    </row>
    <row r="419" spans="19:27" x14ac:dyDescent="0.25">
      <c r="S419" s="28"/>
      <c r="AA419" s="28"/>
    </row>
    <row r="420" spans="19:27" x14ac:dyDescent="0.25">
      <c r="S420" s="28"/>
      <c r="AA420" s="28"/>
    </row>
    <row r="421" spans="19:27" x14ac:dyDescent="0.25">
      <c r="S421" s="28"/>
      <c r="AA421" s="28"/>
    </row>
    <row r="422" spans="19:27" x14ac:dyDescent="0.25">
      <c r="S422" s="28"/>
      <c r="AA422" s="28"/>
    </row>
    <row r="423" spans="19:27" x14ac:dyDescent="0.25">
      <c r="S423" s="28"/>
      <c r="AA423" s="28"/>
    </row>
    <row r="424" spans="19:27" x14ac:dyDescent="0.25">
      <c r="S424" s="28"/>
      <c r="AA424" s="28"/>
    </row>
    <row r="425" spans="19:27" x14ac:dyDescent="0.25">
      <c r="S425" s="28"/>
      <c r="AA425" s="28"/>
    </row>
    <row r="426" spans="19:27" x14ac:dyDescent="0.25">
      <c r="S426" s="28"/>
      <c r="AA426" s="28"/>
    </row>
    <row r="427" spans="19:27" x14ac:dyDescent="0.25">
      <c r="S427" s="28"/>
      <c r="AA427" s="28"/>
    </row>
    <row r="428" spans="19:27" x14ac:dyDescent="0.25">
      <c r="S428" s="28"/>
      <c r="AA428" s="28"/>
    </row>
    <row r="429" spans="19:27" x14ac:dyDescent="0.25">
      <c r="S429" s="28"/>
      <c r="AA429" s="28"/>
    </row>
    <row r="430" spans="19:27" x14ac:dyDescent="0.25">
      <c r="S430" s="28"/>
      <c r="AA430" s="28"/>
    </row>
    <row r="431" spans="19:27" x14ac:dyDescent="0.25">
      <c r="S431" s="28"/>
      <c r="AA431" s="28"/>
    </row>
    <row r="432" spans="19:27" x14ac:dyDescent="0.25">
      <c r="S432" s="28"/>
      <c r="AA432" s="28"/>
    </row>
    <row r="433" spans="19:27" x14ac:dyDescent="0.25">
      <c r="S433" s="28"/>
      <c r="AA433" s="28"/>
    </row>
    <row r="434" spans="19:27" x14ac:dyDescent="0.25">
      <c r="S434" s="28"/>
      <c r="AA434" s="28"/>
    </row>
    <row r="435" spans="19:27" x14ac:dyDescent="0.25">
      <c r="S435" s="28"/>
      <c r="AA435" s="28"/>
    </row>
    <row r="436" spans="19:27" x14ac:dyDescent="0.25">
      <c r="S436" s="28"/>
      <c r="AA436" s="28"/>
    </row>
    <row r="437" spans="19:27" x14ac:dyDescent="0.25">
      <c r="S437" s="28"/>
      <c r="AA437" s="28"/>
    </row>
    <row r="438" spans="19:27" x14ac:dyDescent="0.25">
      <c r="S438" s="28"/>
      <c r="AA438" s="28"/>
    </row>
    <row r="439" spans="19:27" x14ac:dyDescent="0.25">
      <c r="S439" s="28"/>
      <c r="AA439" s="28"/>
    </row>
    <row r="440" spans="19:27" x14ac:dyDescent="0.25">
      <c r="S440" s="28"/>
      <c r="AA440" s="28"/>
    </row>
    <row r="441" spans="19:27" x14ac:dyDescent="0.25">
      <c r="S441" s="28"/>
      <c r="AA441" s="28"/>
    </row>
    <row r="442" spans="19:27" x14ac:dyDescent="0.25">
      <c r="S442" s="28"/>
      <c r="AA442" s="28"/>
    </row>
    <row r="443" spans="19:27" x14ac:dyDescent="0.25">
      <c r="S443" s="28"/>
      <c r="AA443" s="28"/>
    </row>
    <row r="444" spans="19:27" x14ac:dyDescent="0.25">
      <c r="S444" s="28"/>
      <c r="AA444" s="28"/>
    </row>
    <row r="445" spans="19:27" x14ac:dyDescent="0.25">
      <c r="S445" s="28"/>
      <c r="AA445" s="28"/>
    </row>
    <row r="446" spans="19:27" x14ac:dyDescent="0.25">
      <c r="S446" s="28"/>
      <c r="AA446" s="28"/>
    </row>
    <row r="447" spans="19:27" x14ac:dyDescent="0.25">
      <c r="S447" s="28"/>
      <c r="AA447" s="28"/>
    </row>
    <row r="448" spans="19:27" x14ac:dyDescent="0.25">
      <c r="S448" s="28"/>
      <c r="AA448" s="28"/>
    </row>
    <row r="449" spans="19:27" x14ac:dyDescent="0.25">
      <c r="S449" s="28"/>
      <c r="AA449" s="28"/>
    </row>
    <row r="450" spans="19:27" x14ac:dyDescent="0.25">
      <c r="S450" s="28"/>
      <c r="AA450" s="28"/>
    </row>
    <row r="451" spans="19:27" x14ac:dyDescent="0.25">
      <c r="S451" s="28"/>
      <c r="AA451" s="28"/>
    </row>
    <row r="452" spans="19:27" x14ac:dyDescent="0.25">
      <c r="S452" s="28"/>
      <c r="AA452" s="28"/>
    </row>
    <row r="453" spans="19:27" x14ac:dyDescent="0.25">
      <c r="S453" s="28"/>
      <c r="AA453" s="28"/>
    </row>
    <row r="454" spans="19:27" x14ac:dyDescent="0.25">
      <c r="S454" s="28"/>
      <c r="AA454" s="28"/>
    </row>
    <row r="455" spans="19:27" x14ac:dyDescent="0.25">
      <c r="S455" s="28"/>
      <c r="AA455" s="28"/>
    </row>
    <row r="456" spans="19:27" x14ac:dyDescent="0.25">
      <c r="S456" s="28"/>
      <c r="AA456" s="28"/>
    </row>
    <row r="457" spans="19:27" x14ac:dyDescent="0.25">
      <c r="S457" s="28"/>
      <c r="AA457" s="28"/>
    </row>
    <row r="458" spans="19:27" x14ac:dyDescent="0.25">
      <c r="S458" s="28"/>
      <c r="AA458" s="28"/>
    </row>
    <row r="459" spans="19:27" x14ac:dyDescent="0.25">
      <c r="S459" s="28"/>
      <c r="AA459" s="28"/>
    </row>
    <row r="460" spans="19:27" x14ac:dyDescent="0.25">
      <c r="S460" s="28"/>
      <c r="AA460" s="28"/>
    </row>
    <row r="461" spans="19:27" x14ac:dyDescent="0.25">
      <c r="S461" s="28"/>
      <c r="AA461" s="28"/>
    </row>
    <row r="462" spans="19:27" x14ac:dyDescent="0.25">
      <c r="S462" s="28"/>
      <c r="AA462" s="28"/>
    </row>
    <row r="463" spans="19:27" x14ac:dyDescent="0.25">
      <c r="S463" s="28"/>
      <c r="AA463" s="28"/>
    </row>
    <row r="464" spans="19:27" x14ac:dyDescent="0.25">
      <c r="S464" s="28"/>
      <c r="AA464" s="28"/>
    </row>
    <row r="465" spans="19:27" x14ac:dyDescent="0.25">
      <c r="S465" s="28"/>
      <c r="AA465" s="28"/>
    </row>
    <row r="466" spans="19:27" x14ac:dyDescent="0.25">
      <c r="S466" s="28"/>
      <c r="AA466" s="28"/>
    </row>
    <row r="467" spans="19:27" x14ac:dyDescent="0.25">
      <c r="S467" s="28"/>
      <c r="AA467" s="28"/>
    </row>
    <row r="468" spans="19:27" x14ac:dyDescent="0.25">
      <c r="S468" s="28"/>
      <c r="AA468" s="28"/>
    </row>
    <row r="469" spans="19:27" x14ac:dyDescent="0.25">
      <c r="S469" s="28"/>
      <c r="AA469" s="28"/>
    </row>
    <row r="470" spans="19:27" x14ac:dyDescent="0.25">
      <c r="S470" s="28"/>
      <c r="AA470" s="28"/>
    </row>
    <row r="471" spans="19:27" x14ac:dyDescent="0.25">
      <c r="S471" s="28"/>
      <c r="AA471" s="28"/>
    </row>
    <row r="472" spans="19:27" x14ac:dyDescent="0.25">
      <c r="S472" s="28"/>
      <c r="AA472" s="28"/>
    </row>
    <row r="473" spans="19:27" x14ac:dyDescent="0.25">
      <c r="S473" s="28"/>
      <c r="AA473" s="28"/>
    </row>
    <row r="474" spans="19:27" x14ac:dyDescent="0.25">
      <c r="S474" s="28"/>
      <c r="AA474" s="28"/>
    </row>
    <row r="475" spans="19:27" x14ac:dyDescent="0.25">
      <c r="S475" s="28"/>
      <c r="AA475" s="28"/>
    </row>
    <row r="476" spans="19:27" x14ac:dyDescent="0.25">
      <c r="S476" s="28"/>
      <c r="AA476" s="28"/>
    </row>
    <row r="477" spans="19:27" x14ac:dyDescent="0.25">
      <c r="S477" s="28"/>
      <c r="AA477" s="28"/>
    </row>
    <row r="478" spans="19:27" x14ac:dyDescent="0.25">
      <c r="S478" s="28"/>
      <c r="AA478" s="28"/>
    </row>
    <row r="479" spans="19:27" x14ac:dyDescent="0.25">
      <c r="S479" s="28"/>
      <c r="AA479" s="28"/>
    </row>
    <row r="480" spans="19:27" x14ac:dyDescent="0.25">
      <c r="S480" s="28"/>
      <c r="AA480" s="28"/>
    </row>
    <row r="481" spans="19:27" x14ac:dyDescent="0.25">
      <c r="S481" s="28"/>
      <c r="AA481" s="28"/>
    </row>
    <row r="482" spans="19:27" x14ac:dyDescent="0.25">
      <c r="S482" s="28"/>
      <c r="AA482" s="28"/>
    </row>
    <row r="483" spans="19:27" x14ac:dyDescent="0.25">
      <c r="S483" s="28"/>
      <c r="AA483" s="28"/>
    </row>
    <row r="484" spans="19:27" x14ac:dyDescent="0.25">
      <c r="S484" s="28"/>
      <c r="AA484" s="28"/>
    </row>
    <row r="485" spans="19:27" x14ac:dyDescent="0.25">
      <c r="S485" s="28"/>
      <c r="AA485" s="28"/>
    </row>
    <row r="486" spans="19:27" x14ac:dyDescent="0.25">
      <c r="S486" s="28"/>
      <c r="AA486" s="28"/>
    </row>
    <row r="487" spans="19:27" x14ac:dyDescent="0.25">
      <c r="S487" s="28"/>
      <c r="AA487" s="28"/>
    </row>
    <row r="488" spans="19:27" x14ac:dyDescent="0.25">
      <c r="S488" s="28"/>
      <c r="AA488" s="28"/>
    </row>
    <row r="489" spans="19:27" x14ac:dyDescent="0.25">
      <c r="S489" s="28"/>
      <c r="AA489" s="28"/>
    </row>
    <row r="490" spans="19:27" x14ac:dyDescent="0.25">
      <c r="S490" s="28"/>
      <c r="AA490" s="28"/>
    </row>
    <row r="491" spans="19:27" x14ac:dyDescent="0.25">
      <c r="S491" s="28"/>
      <c r="AA491" s="28"/>
    </row>
    <row r="492" spans="19:27" x14ac:dyDescent="0.25">
      <c r="S492" s="28"/>
      <c r="AA492" s="28"/>
    </row>
    <row r="493" spans="19:27" x14ac:dyDescent="0.25">
      <c r="S493" s="28"/>
      <c r="AA493" s="28"/>
    </row>
    <row r="494" spans="19:27" x14ac:dyDescent="0.25">
      <c r="S494" s="28"/>
      <c r="AA494" s="28"/>
    </row>
    <row r="495" spans="19:27" x14ac:dyDescent="0.25">
      <c r="S495" s="28"/>
      <c r="AA495" s="28"/>
    </row>
    <row r="496" spans="19:27" x14ac:dyDescent="0.25">
      <c r="S496" s="28"/>
      <c r="AA496" s="28"/>
    </row>
    <row r="497" spans="19:27" x14ac:dyDescent="0.25">
      <c r="S497" s="28"/>
      <c r="AA497" s="28"/>
    </row>
    <row r="498" spans="19:27" x14ac:dyDescent="0.25">
      <c r="S498" s="28"/>
      <c r="AA498" s="28"/>
    </row>
    <row r="499" spans="19:27" x14ac:dyDescent="0.25">
      <c r="S499" s="28"/>
      <c r="AA499" s="28"/>
    </row>
    <row r="500" spans="19:27" x14ac:dyDescent="0.25">
      <c r="S500" s="28"/>
      <c r="AA500" s="28"/>
    </row>
    <row r="501" spans="19:27" x14ac:dyDescent="0.25">
      <c r="S501" s="28"/>
      <c r="AA501" s="28"/>
    </row>
    <row r="502" spans="19:27" x14ac:dyDescent="0.25">
      <c r="S502" s="28"/>
      <c r="AA502" s="28"/>
    </row>
    <row r="503" spans="19:27" x14ac:dyDescent="0.25">
      <c r="S503" s="28"/>
      <c r="AA503" s="28"/>
    </row>
    <row r="504" spans="19:27" x14ac:dyDescent="0.25">
      <c r="S504" s="28"/>
      <c r="AA504" s="28"/>
    </row>
    <row r="505" spans="19:27" x14ac:dyDescent="0.25">
      <c r="S505" s="28"/>
      <c r="AA505" s="28"/>
    </row>
    <row r="506" spans="19:27" x14ac:dyDescent="0.25">
      <c r="S506" s="28"/>
      <c r="AA506" s="28"/>
    </row>
    <row r="507" spans="19:27" x14ac:dyDescent="0.25">
      <c r="S507" s="28"/>
      <c r="AA507" s="28"/>
    </row>
    <row r="508" spans="19:27" x14ac:dyDescent="0.25">
      <c r="S508" s="28"/>
      <c r="AA508" s="28"/>
    </row>
    <row r="509" spans="19:27" x14ac:dyDescent="0.25">
      <c r="S509" s="28"/>
      <c r="AA509" s="28"/>
    </row>
    <row r="510" spans="19:27" x14ac:dyDescent="0.25">
      <c r="S510" s="28"/>
      <c r="AA510" s="28"/>
    </row>
    <row r="511" spans="19:27" x14ac:dyDescent="0.25">
      <c r="S511" s="28"/>
      <c r="AA511" s="28"/>
    </row>
    <row r="512" spans="19:27" x14ac:dyDescent="0.25">
      <c r="S512" s="28"/>
      <c r="AA512" s="28"/>
    </row>
    <row r="513" spans="19:27" x14ac:dyDescent="0.25">
      <c r="S513" s="28"/>
      <c r="AA513" s="28"/>
    </row>
    <row r="514" spans="19:27" x14ac:dyDescent="0.25">
      <c r="S514" s="28"/>
      <c r="AA514" s="28"/>
    </row>
    <row r="515" spans="19:27" x14ac:dyDescent="0.25">
      <c r="S515" s="28"/>
      <c r="AA515" s="28"/>
    </row>
    <row r="516" spans="19:27" x14ac:dyDescent="0.25">
      <c r="S516" s="28"/>
      <c r="AA516" s="28"/>
    </row>
    <row r="517" spans="19:27" x14ac:dyDescent="0.25">
      <c r="S517" s="28"/>
      <c r="AA517" s="28"/>
    </row>
    <row r="518" spans="19:27" x14ac:dyDescent="0.25">
      <c r="S518" s="28"/>
      <c r="AA518" s="28"/>
    </row>
    <row r="519" spans="19:27" x14ac:dyDescent="0.25">
      <c r="S519" s="28"/>
      <c r="AA519" s="28"/>
    </row>
    <row r="520" spans="19:27" x14ac:dyDescent="0.25">
      <c r="S520" s="28"/>
      <c r="AA520" s="28"/>
    </row>
    <row r="521" spans="19:27" x14ac:dyDescent="0.25">
      <c r="S521" s="28"/>
      <c r="AA521" s="28"/>
    </row>
    <row r="522" spans="19:27" x14ac:dyDescent="0.25">
      <c r="S522" s="28"/>
      <c r="AA522" s="28"/>
    </row>
    <row r="523" spans="19:27" x14ac:dyDescent="0.25">
      <c r="S523" s="28"/>
      <c r="AA523" s="28"/>
    </row>
    <row r="524" spans="19:27" x14ac:dyDescent="0.25">
      <c r="S524" s="28"/>
      <c r="AA524" s="28"/>
    </row>
    <row r="525" spans="19:27" x14ac:dyDescent="0.25">
      <c r="S525" s="28"/>
      <c r="AA525" s="28"/>
    </row>
    <row r="526" spans="19:27" x14ac:dyDescent="0.25">
      <c r="S526" s="28"/>
      <c r="AA526" s="28"/>
    </row>
    <row r="527" spans="19:27" x14ac:dyDescent="0.25">
      <c r="S527" s="28"/>
      <c r="AA527" s="28"/>
    </row>
    <row r="528" spans="19:27" x14ac:dyDescent="0.25">
      <c r="S528" s="28"/>
      <c r="AA528" s="28"/>
    </row>
    <row r="529" spans="19:27" x14ac:dyDescent="0.25">
      <c r="S529" s="28"/>
      <c r="AA529" s="28"/>
    </row>
    <row r="530" spans="19:27" x14ac:dyDescent="0.25">
      <c r="S530" s="28"/>
      <c r="AA530" s="28"/>
    </row>
    <row r="531" spans="19:27" x14ac:dyDescent="0.25">
      <c r="S531" s="28"/>
      <c r="AA531" s="28"/>
    </row>
    <row r="532" spans="19:27" x14ac:dyDescent="0.25">
      <c r="S532" s="28"/>
      <c r="AA532" s="28"/>
    </row>
    <row r="533" spans="19:27" x14ac:dyDescent="0.25">
      <c r="S533" s="28"/>
      <c r="AA533" s="28"/>
    </row>
    <row r="534" spans="19:27" x14ac:dyDescent="0.25">
      <c r="S534" s="28"/>
      <c r="AA534" s="28"/>
    </row>
    <row r="535" spans="19:27" x14ac:dyDescent="0.25">
      <c r="S535" s="28"/>
      <c r="AA535" s="28"/>
    </row>
    <row r="536" spans="19:27" x14ac:dyDescent="0.25">
      <c r="S536" s="28"/>
      <c r="AA536" s="28"/>
    </row>
    <row r="537" spans="19:27" x14ac:dyDescent="0.25">
      <c r="S537" s="28"/>
      <c r="AA537" s="28"/>
    </row>
    <row r="538" spans="19:27" x14ac:dyDescent="0.25">
      <c r="S538" s="28"/>
      <c r="AA538" s="28"/>
    </row>
    <row r="539" spans="19:27" x14ac:dyDescent="0.25">
      <c r="S539" s="28"/>
      <c r="AA539" s="28"/>
    </row>
    <row r="540" spans="19:27" x14ac:dyDescent="0.25">
      <c r="S540" s="28"/>
      <c r="AA540" s="28"/>
    </row>
    <row r="541" spans="19:27" x14ac:dyDescent="0.25">
      <c r="S541" s="28"/>
      <c r="AA541" s="28"/>
    </row>
    <row r="542" spans="19:27" x14ac:dyDescent="0.25">
      <c r="S542" s="28"/>
      <c r="AA542" s="28"/>
    </row>
    <row r="543" spans="19:27" x14ac:dyDescent="0.25">
      <c r="S543" s="28"/>
      <c r="AA543" s="28"/>
    </row>
    <row r="544" spans="19:27" x14ac:dyDescent="0.25">
      <c r="S544" s="28"/>
      <c r="AA544" s="28"/>
    </row>
    <row r="545" spans="19:27" x14ac:dyDescent="0.25">
      <c r="S545" s="28"/>
      <c r="AA545" s="28"/>
    </row>
    <row r="546" spans="19:27" x14ac:dyDescent="0.25">
      <c r="S546" s="28"/>
      <c r="AA546" s="28"/>
    </row>
    <row r="547" spans="19:27" x14ac:dyDescent="0.25">
      <c r="S547" s="28"/>
      <c r="AA547" s="28"/>
    </row>
    <row r="548" spans="19:27" x14ac:dyDescent="0.25">
      <c r="S548" s="28"/>
      <c r="AA548" s="28"/>
    </row>
    <row r="549" spans="19:27" x14ac:dyDescent="0.25">
      <c r="S549" s="28"/>
      <c r="AA549" s="28"/>
    </row>
    <row r="550" spans="19:27" x14ac:dyDescent="0.25">
      <c r="S550" s="28"/>
      <c r="AA550" s="28"/>
    </row>
    <row r="551" spans="19:27" x14ac:dyDescent="0.25">
      <c r="S551" s="28"/>
      <c r="AA551" s="28"/>
    </row>
    <row r="552" spans="19:27" x14ac:dyDescent="0.25">
      <c r="S552" s="28"/>
      <c r="AA552" s="28"/>
    </row>
    <row r="553" spans="19:27" x14ac:dyDescent="0.25">
      <c r="S553" s="28"/>
      <c r="AA553" s="28"/>
    </row>
    <row r="554" spans="19:27" x14ac:dyDescent="0.25">
      <c r="S554" s="28"/>
      <c r="AA554" s="28"/>
    </row>
    <row r="555" spans="19:27" x14ac:dyDescent="0.25">
      <c r="S555" s="28"/>
      <c r="AA555" s="28"/>
    </row>
    <row r="556" spans="19:27" x14ac:dyDescent="0.25">
      <c r="S556" s="28"/>
      <c r="AA556" s="28"/>
    </row>
    <row r="557" spans="19:27" x14ac:dyDescent="0.25">
      <c r="S557" s="28"/>
      <c r="AA557" s="28"/>
    </row>
    <row r="558" spans="19:27" x14ac:dyDescent="0.25">
      <c r="S558" s="28"/>
      <c r="AA558" s="28"/>
    </row>
    <row r="559" spans="19:27" x14ac:dyDescent="0.25">
      <c r="S559" s="28"/>
      <c r="AA559" s="28"/>
    </row>
    <row r="560" spans="19:27" x14ac:dyDescent="0.25">
      <c r="S560" s="28"/>
      <c r="AA560" s="28"/>
    </row>
    <row r="561" spans="19:27" x14ac:dyDescent="0.25">
      <c r="S561" s="28"/>
      <c r="AA561" s="28"/>
    </row>
    <row r="562" spans="19:27" x14ac:dyDescent="0.25">
      <c r="S562" s="28"/>
      <c r="AA562" s="28"/>
    </row>
    <row r="563" spans="19:27" x14ac:dyDescent="0.25">
      <c r="S563" s="28"/>
      <c r="AA563" s="28"/>
    </row>
    <row r="564" spans="19:27" x14ac:dyDescent="0.25">
      <c r="S564" s="28"/>
      <c r="AA564" s="28"/>
    </row>
    <row r="565" spans="19:27" x14ac:dyDescent="0.25">
      <c r="S565" s="28"/>
      <c r="AA565" s="28"/>
    </row>
    <row r="566" spans="19:27" x14ac:dyDescent="0.25">
      <c r="S566" s="28"/>
      <c r="AA566" s="28"/>
    </row>
    <row r="567" spans="19:27" x14ac:dyDescent="0.25">
      <c r="S567" s="28"/>
      <c r="AA567" s="28"/>
    </row>
    <row r="568" spans="19:27" x14ac:dyDescent="0.25">
      <c r="S568" s="28"/>
      <c r="AA568" s="28"/>
    </row>
    <row r="569" spans="19:27" x14ac:dyDescent="0.25">
      <c r="S569" s="28"/>
      <c r="AA569" s="28"/>
    </row>
    <row r="570" spans="19:27" x14ac:dyDescent="0.25">
      <c r="S570" s="28"/>
      <c r="AA570" s="28"/>
    </row>
    <row r="571" spans="19:27" x14ac:dyDescent="0.25">
      <c r="S571" s="28"/>
      <c r="AA571" s="28"/>
    </row>
    <row r="572" spans="19:27" x14ac:dyDescent="0.25">
      <c r="S572" s="28"/>
      <c r="AA572" s="28"/>
    </row>
    <row r="573" spans="19:27" x14ac:dyDescent="0.25">
      <c r="S573" s="28"/>
      <c r="AA573" s="28"/>
    </row>
    <row r="574" spans="19:27" x14ac:dyDescent="0.25">
      <c r="S574" s="28"/>
      <c r="AA574" s="28"/>
    </row>
    <row r="575" spans="19:27" x14ac:dyDescent="0.25">
      <c r="S575" s="28"/>
      <c r="AA575" s="28"/>
    </row>
    <row r="576" spans="19:27" x14ac:dyDescent="0.25">
      <c r="S576" s="28"/>
      <c r="AA576" s="28"/>
    </row>
    <row r="577" spans="19:27" x14ac:dyDescent="0.25">
      <c r="S577" s="28"/>
      <c r="AA577" s="28"/>
    </row>
    <row r="578" spans="19:27" x14ac:dyDescent="0.25">
      <c r="S578" s="28"/>
      <c r="AA578" s="28"/>
    </row>
    <row r="579" spans="19:27" x14ac:dyDescent="0.25">
      <c r="S579" s="28"/>
      <c r="AA579" s="28"/>
    </row>
    <row r="580" spans="19:27" x14ac:dyDescent="0.25">
      <c r="S580" s="28"/>
      <c r="AA580" s="28"/>
    </row>
    <row r="581" spans="19:27" x14ac:dyDescent="0.25">
      <c r="S581" s="28"/>
      <c r="AA581" s="28"/>
    </row>
    <row r="582" spans="19:27" x14ac:dyDescent="0.25">
      <c r="S582" s="28"/>
      <c r="AA582" s="28"/>
    </row>
    <row r="583" spans="19:27" x14ac:dyDescent="0.25">
      <c r="S583" s="28"/>
      <c r="AA583" s="28"/>
    </row>
    <row r="584" spans="19:27" x14ac:dyDescent="0.25">
      <c r="S584" s="28"/>
      <c r="AA584" s="28"/>
    </row>
    <row r="585" spans="19:27" x14ac:dyDescent="0.25">
      <c r="S585" s="28"/>
      <c r="AA585" s="28"/>
    </row>
    <row r="586" spans="19:27" x14ac:dyDescent="0.25">
      <c r="S586" s="28"/>
      <c r="AA586" s="28"/>
    </row>
    <row r="587" spans="19:27" x14ac:dyDescent="0.25">
      <c r="S587" s="28"/>
      <c r="AA587" s="28"/>
    </row>
    <row r="588" spans="19:27" x14ac:dyDescent="0.25">
      <c r="S588" s="28"/>
      <c r="AA588" s="28"/>
    </row>
    <row r="589" spans="19:27" x14ac:dyDescent="0.25">
      <c r="S589" s="28"/>
      <c r="AA589" s="28"/>
    </row>
    <row r="590" spans="19:27" x14ac:dyDescent="0.25">
      <c r="S590" s="28"/>
      <c r="AA590" s="28"/>
    </row>
    <row r="591" spans="19:27" x14ac:dyDescent="0.25">
      <c r="S591" s="28"/>
      <c r="AA591" s="28"/>
    </row>
    <row r="592" spans="19:27" x14ac:dyDescent="0.25">
      <c r="S592" s="28"/>
      <c r="AA592" s="28"/>
    </row>
    <row r="593" spans="19:27" x14ac:dyDescent="0.25">
      <c r="S593" s="28"/>
      <c r="AA593" s="28"/>
    </row>
    <row r="594" spans="19:27" x14ac:dyDescent="0.25">
      <c r="S594" s="28"/>
      <c r="AA594" s="28"/>
    </row>
    <row r="595" spans="19:27" x14ac:dyDescent="0.25">
      <c r="S595" s="28"/>
      <c r="AA595" s="28"/>
    </row>
    <row r="596" spans="19:27" x14ac:dyDescent="0.25">
      <c r="S596" s="28"/>
      <c r="AA596" s="28"/>
    </row>
    <row r="597" spans="19:27" x14ac:dyDescent="0.25">
      <c r="S597" s="28"/>
      <c r="AA597" s="28"/>
    </row>
    <row r="598" spans="19:27" x14ac:dyDescent="0.25">
      <c r="S598" s="28"/>
      <c r="AA598" s="28"/>
    </row>
    <row r="599" spans="19:27" x14ac:dyDescent="0.25">
      <c r="S599" s="28"/>
      <c r="AA599" s="28"/>
    </row>
    <row r="600" spans="19:27" x14ac:dyDescent="0.25">
      <c r="S600" s="28"/>
      <c r="AA600" s="28"/>
    </row>
    <row r="601" spans="19:27" x14ac:dyDescent="0.25">
      <c r="S601" s="28"/>
      <c r="AA601" s="28"/>
    </row>
    <row r="602" spans="19:27" x14ac:dyDescent="0.25">
      <c r="S602" s="28"/>
      <c r="AA602" s="28"/>
    </row>
    <row r="603" spans="19:27" x14ac:dyDescent="0.25">
      <c r="S603" s="28"/>
      <c r="AA603" s="28"/>
    </row>
    <row r="604" spans="19:27" x14ac:dyDescent="0.25">
      <c r="S604" s="28"/>
      <c r="AA604" s="28"/>
    </row>
    <row r="605" spans="19:27" x14ac:dyDescent="0.25">
      <c r="S605" s="28"/>
      <c r="AA605" s="28"/>
    </row>
    <row r="606" spans="19:27" x14ac:dyDescent="0.25">
      <c r="S606" s="28"/>
      <c r="AA606" s="28"/>
    </row>
    <row r="607" spans="19:27" x14ac:dyDescent="0.25">
      <c r="S607" s="28"/>
      <c r="AA607" s="28"/>
    </row>
    <row r="608" spans="19:27" x14ac:dyDescent="0.25">
      <c r="S608" s="28"/>
      <c r="AA608" s="28"/>
    </row>
    <row r="609" spans="19:27" x14ac:dyDescent="0.25">
      <c r="S609" s="28"/>
      <c r="AA609" s="28"/>
    </row>
    <row r="610" spans="19:27" x14ac:dyDescent="0.25">
      <c r="S610" s="28"/>
      <c r="AA610" s="28"/>
    </row>
    <row r="611" spans="19:27" x14ac:dyDescent="0.25">
      <c r="S611" s="28"/>
      <c r="AA611" s="28"/>
    </row>
    <row r="612" spans="19:27" x14ac:dyDescent="0.25">
      <c r="S612" s="28"/>
      <c r="AA612" s="28"/>
    </row>
    <row r="613" spans="19:27" x14ac:dyDescent="0.25">
      <c r="S613" s="28"/>
      <c r="AA613" s="28"/>
    </row>
    <row r="614" spans="19:27" x14ac:dyDescent="0.25">
      <c r="S614" s="28"/>
      <c r="AA614" s="28"/>
    </row>
    <row r="615" spans="19:27" x14ac:dyDescent="0.25">
      <c r="S615" s="28"/>
      <c r="AA615" s="28"/>
    </row>
    <row r="616" spans="19:27" x14ac:dyDescent="0.25">
      <c r="S616" s="28"/>
      <c r="AA616" s="28"/>
    </row>
    <row r="617" spans="19:27" x14ac:dyDescent="0.25">
      <c r="S617" s="28"/>
      <c r="AA617" s="28"/>
    </row>
    <row r="618" spans="19:27" x14ac:dyDescent="0.25">
      <c r="S618" s="28"/>
      <c r="AA618" s="28"/>
    </row>
    <row r="619" spans="19:27" x14ac:dyDescent="0.25">
      <c r="S619" s="28"/>
      <c r="AA619" s="28"/>
    </row>
    <row r="620" spans="19:27" x14ac:dyDescent="0.25">
      <c r="S620" s="28"/>
      <c r="AA620" s="28"/>
    </row>
    <row r="621" spans="19:27" x14ac:dyDescent="0.25">
      <c r="S621" s="28"/>
      <c r="AA621" s="28"/>
    </row>
    <row r="622" spans="19:27" x14ac:dyDescent="0.25">
      <c r="S622" s="28"/>
      <c r="AA622" s="28"/>
    </row>
    <row r="623" spans="19:27" x14ac:dyDescent="0.25">
      <c r="S623" s="28"/>
      <c r="AA623" s="28"/>
    </row>
    <row r="624" spans="19:27" x14ac:dyDescent="0.25">
      <c r="S624" s="28"/>
      <c r="AA624" s="28"/>
    </row>
    <row r="625" spans="19:27" x14ac:dyDescent="0.25">
      <c r="S625" s="28"/>
      <c r="AA625" s="28"/>
    </row>
    <row r="626" spans="19:27" x14ac:dyDescent="0.25">
      <c r="S626" s="28"/>
      <c r="AA626" s="28"/>
    </row>
    <row r="627" spans="19:27" x14ac:dyDescent="0.25">
      <c r="S627" s="28"/>
      <c r="AA627" s="28"/>
    </row>
    <row r="628" spans="19:27" x14ac:dyDescent="0.25">
      <c r="S628" s="28"/>
      <c r="AA628" s="28"/>
    </row>
    <row r="629" spans="19:27" x14ac:dyDescent="0.25">
      <c r="S629" s="28"/>
      <c r="AA629" s="28"/>
    </row>
    <row r="630" spans="19:27" x14ac:dyDescent="0.25">
      <c r="S630" s="28"/>
      <c r="AA630" s="28"/>
    </row>
    <row r="631" spans="19:27" x14ac:dyDescent="0.25">
      <c r="S631" s="28"/>
      <c r="AA631" s="28"/>
    </row>
    <row r="632" spans="19:27" x14ac:dyDescent="0.25">
      <c r="S632" s="28"/>
      <c r="AA632" s="28"/>
    </row>
    <row r="633" spans="19:27" x14ac:dyDescent="0.25">
      <c r="S633" s="28"/>
      <c r="AA633" s="28"/>
    </row>
    <row r="634" spans="19:27" x14ac:dyDescent="0.25">
      <c r="S634" s="28"/>
      <c r="AA634" s="28"/>
    </row>
    <row r="635" spans="19:27" x14ac:dyDescent="0.25">
      <c r="S635" s="28"/>
      <c r="AA635" s="28"/>
    </row>
    <row r="636" spans="19:27" x14ac:dyDescent="0.25">
      <c r="S636" s="28"/>
      <c r="AA636" s="28"/>
    </row>
    <row r="637" spans="19:27" x14ac:dyDescent="0.25">
      <c r="S637" s="28"/>
      <c r="AA637" s="28"/>
    </row>
    <row r="638" spans="19:27" x14ac:dyDescent="0.25">
      <c r="S638" s="28"/>
      <c r="AA638" s="28"/>
    </row>
    <row r="639" spans="19:27" x14ac:dyDescent="0.25">
      <c r="S639" s="28"/>
      <c r="AA639" s="28"/>
    </row>
    <row r="640" spans="19:27" x14ac:dyDescent="0.25">
      <c r="S640" s="28"/>
      <c r="AA640" s="28"/>
    </row>
    <row r="641" spans="19:27" x14ac:dyDescent="0.25">
      <c r="S641" s="28"/>
      <c r="AA641" s="28"/>
    </row>
    <row r="642" spans="19:27" x14ac:dyDescent="0.25">
      <c r="S642" s="28"/>
      <c r="AA642" s="28"/>
    </row>
    <row r="643" spans="19:27" x14ac:dyDescent="0.25">
      <c r="S643" s="28"/>
      <c r="AA643" s="28"/>
    </row>
    <row r="644" spans="19:27" x14ac:dyDescent="0.25">
      <c r="S644" s="28"/>
      <c r="AA644" s="28"/>
    </row>
    <row r="645" spans="19:27" x14ac:dyDescent="0.25">
      <c r="S645" s="28"/>
      <c r="AA645" s="28"/>
    </row>
    <row r="646" spans="19:27" x14ac:dyDescent="0.25">
      <c r="S646" s="28"/>
      <c r="AA646" s="28"/>
    </row>
    <row r="647" spans="19:27" x14ac:dyDescent="0.25">
      <c r="S647" s="28"/>
      <c r="AA647" s="28"/>
    </row>
    <row r="648" spans="19:27" x14ac:dyDescent="0.25">
      <c r="S648" s="28"/>
      <c r="AA648" s="28"/>
    </row>
    <row r="649" spans="19:27" x14ac:dyDescent="0.25">
      <c r="S649" s="28"/>
      <c r="AA649" s="28"/>
    </row>
    <row r="650" spans="19:27" x14ac:dyDescent="0.25">
      <c r="S650" s="28"/>
      <c r="AA650" s="28"/>
    </row>
    <row r="651" spans="19:27" x14ac:dyDescent="0.25">
      <c r="S651" s="28"/>
      <c r="AA651" s="28"/>
    </row>
    <row r="652" spans="19:27" x14ac:dyDescent="0.25">
      <c r="S652" s="28"/>
      <c r="AA652" s="28"/>
    </row>
    <row r="653" spans="19:27" x14ac:dyDescent="0.25">
      <c r="S653" s="28"/>
      <c r="AA653" s="28"/>
    </row>
    <row r="654" spans="19:27" x14ac:dyDescent="0.25">
      <c r="S654" s="28"/>
      <c r="AA654" s="28"/>
    </row>
    <row r="655" spans="19:27" x14ac:dyDescent="0.25">
      <c r="S655" s="28"/>
      <c r="AA655" s="28"/>
    </row>
    <row r="656" spans="19:27" x14ac:dyDescent="0.25">
      <c r="S656" s="28"/>
      <c r="AA656" s="28"/>
    </row>
    <row r="657" spans="19:27" x14ac:dyDescent="0.25">
      <c r="S657" s="28"/>
      <c r="AA657" s="28"/>
    </row>
    <row r="658" spans="19:27" x14ac:dyDescent="0.25">
      <c r="S658" s="28"/>
      <c r="AA658" s="28"/>
    </row>
    <row r="659" spans="19:27" x14ac:dyDescent="0.25">
      <c r="S659" s="28"/>
      <c r="AA659" s="28"/>
    </row>
    <row r="660" spans="19:27" x14ac:dyDescent="0.25">
      <c r="S660" s="28"/>
      <c r="AA660" s="28"/>
    </row>
    <row r="661" spans="19:27" x14ac:dyDescent="0.25">
      <c r="S661" s="28"/>
      <c r="AA661" s="28"/>
    </row>
    <row r="662" spans="19:27" x14ac:dyDescent="0.25">
      <c r="S662" s="28"/>
      <c r="AA662" s="28"/>
    </row>
    <row r="663" spans="19:27" x14ac:dyDescent="0.25">
      <c r="S663" s="28"/>
      <c r="AA663" s="28"/>
    </row>
    <row r="664" spans="19:27" x14ac:dyDescent="0.25">
      <c r="S664" s="28"/>
      <c r="AA664" s="28"/>
    </row>
    <row r="665" spans="19:27" x14ac:dyDescent="0.25">
      <c r="S665" s="28"/>
      <c r="AA665" s="28"/>
    </row>
    <row r="666" spans="19:27" x14ac:dyDescent="0.25">
      <c r="S666" s="28"/>
      <c r="AA666" s="28"/>
    </row>
    <row r="667" spans="19:27" x14ac:dyDescent="0.25">
      <c r="S667" s="28"/>
      <c r="AA667" s="28"/>
    </row>
    <row r="668" spans="19:27" x14ac:dyDescent="0.25">
      <c r="S668" s="28"/>
      <c r="AA668" s="28"/>
    </row>
    <row r="669" spans="19:27" x14ac:dyDescent="0.25">
      <c r="S669" s="28"/>
      <c r="AA669" s="28"/>
    </row>
    <row r="670" spans="19:27" x14ac:dyDescent="0.25">
      <c r="S670" s="28"/>
      <c r="AA670" s="28"/>
    </row>
    <row r="671" spans="19:27" x14ac:dyDescent="0.25">
      <c r="S671" s="28"/>
      <c r="AA671" s="28"/>
    </row>
    <row r="672" spans="19:27" x14ac:dyDescent="0.25">
      <c r="S672" s="28"/>
      <c r="AA672" s="28"/>
    </row>
    <row r="673" spans="19:27" x14ac:dyDescent="0.25">
      <c r="S673" s="28"/>
      <c r="AA673" s="28"/>
    </row>
    <row r="674" spans="19:27" x14ac:dyDescent="0.25">
      <c r="S674" s="28"/>
      <c r="AA674" s="28"/>
    </row>
    <row r="675" spans="19:27" x14ac:dyDescent="0.25">
      <c r="S675" s="28"/>
      <c r="AA675" s="28"/>
    </row>
    <row r="676" spans="19:27" x14ac:dyDescent="0.25">
      <c r="S676" s="28"/>
      <c r="AA676" s="28"/>
    </row>
    <row r="677" spans="19:27" x14ac:dyDescent="0.25">
      <c r="S677" s="28"/>
      <c r="AA677" s="28"/>
    </row>
    <row r="678" spans="19:27" x14ac:dyDescent="0.25">
      <c r="S678" s="28"/>
      <c r="AA678" s="28"/>
    </row>
    <row r="679" spans="19:27" x14ac:dyDescent="0.25">
      <c r="S679" s="28"/>
      <c r="AA679" s="28"/>
    </row>
    <row r="680" spans="19:27" x14ac:dyDescent="0.25">
      <c r="S680" s="28"/>
      <c r="AA680" s="28"/>
    </row>
    <row r="681" spans="19:27" x14ac:dyDescent="0.25">
      <c r="S681" s="28"/>
      <c r="AA681" s="28"/>
    </row>
    <row r="682" spans="19:27" x14ac:dyDescent="0.25">
      <c r="S682" s="28"/>
      <c r="AA682" s="28"/>
    </row>
    <row r="683" spans="19:27" x14ac:dyDescent="0.25">
      <c r="S683" s="28"/>
      <c r="AA683" s="28"/>
    </row>
    <row r="684" spans="19:27" x14ac:dyDescent="0.25">
      <c r="S684" s="28"/>
      <c r="AA684" s="28"/>
    </row>
    <row r="685" spans="19:27" x14ac:dyDescent="0.25">
      <c r="S685" s="28"/>
      <c r="AA685" s="28"/>
    </row>
    <row r="686" spans="19:27" x14ac:dyDescent="0.25">
      <c r="S686" s="28"/>
      <c r="AA686" s="28"/>
    </row>
    <row r="687" spans="19:27" x14ac:dyDescent="0.25">
      <c r="S687" s="28"/>
      <c r="AA687" s="28"/>
    </row>
    <row r="688" spans="19:27" x14ac:dyDescent="0.25">
      <c r="S688" s="28"/>
      <c r="AA688" s="28"/>
    </row>
    <row r="689" spans="19:27" x14ac:dyDescent="0.25">
      <c r="S689" s="28"/>
      <c r="AA689" s="28"/>
    </row>
    <row r="690" spans="19:27" x14ac:dyDescent="0.25">
      <c r="S690" s="28"/>
      <c r="AA690" s="28"/>
    </row>
    <row r="691" spans="19:27" x14ac:dyDescent="0.25">
      <c r="S691" s="28"/>
      <c r="AA691" s="28"/>
    </row>
    <row r="692" spans="19:27" x14ac:dyDescent="0.25">
      <c r="S692" s="28"/>
      <c r="AA692" s="28"/>
    </row>
    <row r="693" spans="19:27" x14ac:dyDescent="0.25">
      <c r="S693" s="28"/>
      <c r="AA693" s="28"/>
    </row>
    <row r="694" spans="19:27" x14ac:dyDescent="0.25">
      <c r="S694" s="28"/>
      <c r="AA694" s="28"/>
    </row>
    <row r="695" spans="19:27" x14ac:dyDescent="0.25">
      <c r="S695" s="28"/>
      <c r="AA695" s="28"/>
    </row>
    <row r="696" spans="19:27" x14ac:dyDescent="0.25">
      <c r="S696" s="28"/>
      <c r="AA696" s="28"/>
    </row>
    <row r="697" spans="19:27" x14ac:dyDescent="0.25">
      <c r="S697" s="28"/>
      <c r="AA697" s="28"/>
    </row>
    <row r="698" spans="19:27" x14ac:dyDescent="0.25">
      <c r="S698" s="28"/>
      <c r="AA698" s="28"/>
    </row>
    <row r="699" spans="19:27" x14ac:dyDescent="0.25">
      <c r="S699" s="28"/>
      <c r="AA699" s="28"/>
    </row>
    <row r="700" spans="19:27" x14ac:dyDescent="0.25">
      <c r="S700" s="28"/>
      <c r="AA700" s="28"/>
    </row>
    <row r="701" spans="19:27" x14ac:dyDescent="0.25">
      <c r="S701" s="28"/>
      <c r="AA701" s="28"/>
    </row>
    <row r="702" spans="19:27" x14ac:dyDescent="0.25">
      <c r="S702" s="28"/>
      <c r="AA702" s="28"/>
    </row>
    <row r="703" spans="19:27" x14ac:dyDescent="0.25">
      <c r="S703" s="28"/>
      <c r="AA703" s="28"/>
    </row>
    <row r="704" spans="19:27" x14ac:dyDescent="0.25">
      <c r="S704" s="28"/>
      <c r="AA704" s="28"/>
    </row>
    <row r="705" spans="19:27" x14ac:dyDescent="0.25">
      <c r="S705" s="28"/>
      <c r="AA705" s="28"/>
    </row>
    <row r="706" spans="19:27" x14ac:dyDescent="0.25">
      <c r="S706" s="28"/>
      <c r="AA706" s="28"/>
    </row>
    <row r="707" spans="19:27" x14ac:dyDescent="0.25">
      <c r="S707" s="28"/>
      <c r="AA707" s="28"/>
    </row>
    <row r="708" spans="19:27" x14ac:dyDescent="0.25">
      <c r="S708" s="28"/>
      <c r="AA708" s="28"/>
    </row>
    <row r="709" spans="19:27" x14ac:dyDescent="0.25">
      <c r="S709" s="28"/>
      <c r="AA709" s="28"/>
    </row>
    <row r="710" spans="19:27" x14ac:dyDescent="0.25">
      <c r="S710" s="28"/>
      <c r="AA710" s="28"/>
    </row>
    <row r="711" spans="19:27" x14ac:dyDescent="0.25">
      <c r="S711" s="28"/>
      <c r="AA711" s="28"/>
    </row>
    <row r="712" spans="19:27" x14ac:dyDescent="0.25">
      <c r="S712" s="28"/>
      <c r="AA712" s="28"/>
    </row>
    <row r="713" spans="19:27" x14ac:dyDescent="0.25">
      <c r="S713" s="28"/>
      <c r="AA713" s="28"/>
    </row>
    <row r="714" spans="19:27" x14ac:dyDescent="0.25">
      <c r="S714" s="28"/>
      <c r="AA714" s="28"/>
    </row>
    <row r="715" spans="19:27" x14ac:dyDescent="0.25">
      <c r="S715" s="28"/>
      <c r="AA715" s="28"/>
    </row>
    <row r="716" spans="19:27" x14ac:dyDescent="0.25">
      <c r="S716" s="28"/>
      <c r="AA716" s="28"/>
    </row>
    <row r="717" spans="19:27" x14ac:dyDescent="0.25">
      <c r="S717" s="28"/>
      <c r="AA717" s="28"/>
    </row>
    <row r="718" spans="19:27" x14ac:dyDescent="0.25">
      <c r="S718" s="28"/>
      <c r="AA718" s="28"/>
    </row>
    <row r="719" spans="19:27" x14ac:dyDescent="0.25">
      <c r="S719" s="28"/>
      <c r="AA719" s="28"/>
    </row>
    <row r="720" spans="19:27" x14ac:dyDescent="0.25">
      <c r="S720" s="28"/>
      <c r="AA720" s="28"/>
    </row>
    <row r="721" spans="19:27" x14ac:dyDescent="0.25">
      <c r="S721" s="28"/>
      <c r="AA721" s="28"/>
    </row>
    <row r="722" spans="19:27" x14ac:dyDescent="0.25">
      <c r="S722" s="28"/>
      <c r="AA722" s="28"/>
    </row>
  </sheetData>
  <autoFilter ref="A4:AR326" xr:uid="{00000000-0009-0000-0000-000000000000}"/>
  <customSheetViews>
    <customSheetView guid="{FB1E2891-2A33-44CA-9506-1229A0319D8A}" scale="130" showGridLines="0" printArea="1" showAutoFilter="1" hiddenRows="1" hiddenColumns="1" topLeftCell="AC1">
      <pane ySplit="4" topLeftCell="A255" activePane="bottomLeft" state="frozen"/>
      <selection pane="bottomLeft" activeCell="AD257" sqref="AD257:AD263"/>
      <pageMargins left="0.39370078740157483" right="0.39370078740157483" top="0.39370078740157483" bottom="0.39370078740157483" header="0.31496062992125984" footer="0.31496062992125984"/>
      <printOptions horizontalCentered="1"/>
      <pageSetup paperSize="120" scale="46" orientation="landscape" r:id="rId1"/>
      <headerFooter scaleWithDoc="0">
        <oddFooter>&amp;C&amp;G&amp;RDPE-FT-004. V1. Página &amp;P de &amp;N</oddFooter>
      </headerFooter>
      <autoFilter ref="A4:AJ334" xr:uid="{B267C7B6-7AEB-4D63-990F-019AEE10A461}"/>
    </customSheetView>
    <customSheetView guid="{85D7DEF3-4168-4539-9E03-35993795635A}" showPageBreaks="1" showGridLines="0" printArea="1" filter="1" showAutoFilter="1" hiddenRows="1" hiddenColumns="1" topLeftCell="C1">
      <pane xSplit="1" ySplit="4" topLeftCell="Y149" activePane="bottomRight" state="frozen"/>
      <selection pane="bottomRight" activeCell="AD155" sqref="AD155:AD156"/>
      <pageMargins left="0.39370078740157483" right="0.39370078740157483" top="0.39370078740157483" bottom="0.39370078740157483" header="0.31496062992125984" footer="0.31496062992125984"/>
      <printOptions horizontalCentered="1"/>
      <pageSetup paperSize="120" scale="46" orientation="landscape" r:id="rId2"/>
      <headerFooter scaleWithDoc="0">
        <oddFooter>&amp;C&amp;G&amp;RDPE-FT-004. V1. Página &amp;P de &amp;N</oddFooter>
      </headerFooter>
      <autoFilter ref="A4:T334" xr:uid="{A6846DEC-369F-4842-BB3B-B5DA0ABFD1BF}">
        <filterColumn colId="9">
          <filters>
            <filter val="Subdirección General Técnica y Territorial"/>
            <filter val="Subdirección General Técnica y Territorial - _x000a_Coordinación regional"/>
            <filter val="Subdirección General Técnica y Territorial - _x000a_Equipos territoriales"/>
          </filters>
        </filterColumn>
      </autoFilter>
    </customSheetView>
    <customSheetView guid="{210C768B-38E4-4D2C-8149-F4A32F21E0EE}" scale="130" showPageBreaks="1" showGridLines="0" printArea="1" showAutoFilter="1" hiddenRows="1" hiddenColumns="1" topLeftCell="AC1">
      <pane ySplit="9" topLeftCell="A325" activePane="bottomLeft" state="frozen"/>
      <selection pane="bottomLeft" activeCell="AD4" sqref="AD4"/>
      <pageMargins left="0.39370078740157483" right="0.39370078740157483" top="0.39370078740157483" bottom="0.39370078740157483" header="0.31496062992125984" footer="0.31496062992125984"/>
      <printOptions horizontalCentered="1"/>
      <pageSetup paperSize="120" scale="46" orientation="landscape" r:id="rId3"/>
      <headerFooter scaleWithDoc="0">
        <oddFooter>&amp;C&amp;G&amp;RDPE-FT-004. V1. Página &amp;P de &amp;N</oddFooter>
      </headerFooter>
      <autoFilter ref="A4:AJ334" xr:uid="{B96F6297-364B-4FD9-A660-0FA6D293D870}"/>
    </customSheetView>
  </customSheetViews>
  <mergeCells count="2821">
    <mergeCell ref="AR98:AR103"/>
    <mergeCell ref="AR96:AR97"/>
    <mergeCell ref="AR93:AR95"/>
    <mergeCell ref="AR89:AR92"/>
    <mergeCell ref="AR82:AR88"/>
    <mergeCell ref="AR77:AR80"/>
    <mergeCell ref="AR65:AR76"/>
    <mergeCell ref="AR60:AR63"/>
    <mergeCell ref="AR57:AR59"/>
    <mergeCell ref="AR54:AR56"/>
    <mergeCell ref="AR48:AR53"/>
    <mergeCell ref="AR45:AR47"/>
    <mergeCell ref="AR37:AR44"/>
    <mergeCell ref="AR33:AR35"/>
    <mergeCell ref="AR28:AR32"/>
    <mergeCell ref="AR21:AR27"/>
    <mergeCell ref="AR15:AR19"/>
    <mergeCell ref="AR171:AR172"/>
    <mergeCell ref="AR169:AR170"/>
    <mergeCell ref="AR165:AR168"/>
    <mergeCell ref="AR159:AR164"/>
    <mergeCell ref="AR157:AR158"/>
    <mergeCell ref="AR154:AR156"/>
    <mergeCell ref="AR151:AR152"/>
    <mergeCell ref="AR149:AR150"/>
    <mergeCell ref="AR146:AR148"/>
    <mergeCell ref="AR143:AR145"/>
    <mergeCell ref="AR136:AR142"/>
    <mergeCell ref="AR132:AR135"/>
    <mergeCell ref="AR129:AR131"/>
    <mergeCell ref="AR125:AR128"/>
    <mergeCell ref="AR114:AR123"/>
    <mergeCell ref="AR109:AR112"/>
    <mergeCell ref="AR105:AR108"/>
    <mergeCell ref="AR272:AR273"/>
    <mergeCell ref="AR270:AR271"/>
    <mergeCell ref="AR268:AR269"/>
    <mergeCell ref="AR262:AR267"/>
    <mergeCell ref="AR256:AR260"/>
    <mergeCell ref="AR249:AR255"/>
    <mergeCell ref="AR242:AR248"/>
    <mergeCell ref="AR236:AR241"/>
    <mergeCell ref="AR231:AR235"/>
    <mergeCell ref="AR225:AR230"/>
    <mergeCell ref="AR217:AR223"/>
    <mergeCell ref="AR213:AR215"/>
    <mergeCell ref="AR208:AR212"/>
    <mergeCell ref="AR190:AR207"/>
    <mergeCell ref="AR186:AR188"/>
    <mergeCell ref="AR180:AR185"/>
    <mergeCell ref="AR174:AR179"/>
    <mergeCell ref="AR324:AR326"/>
    <mergeCell ref="AR322:AR323"/>
    <mergeCell ref="AR320:AR321"/>
    <mergeCell ref="AR317:AR319"/>
    <mergeCell ref="AR315:AR316"/>
    <mergeCell ref="AR313:AR314"/>
    <mergeCell ref="AR309:AR311"/>
    <mergeCell ref="AR307:AR308"/>
    <mergeCell ref="AR301:AR306"/>
    <mergeCell ref="AR299:AR300"/>
    <mergeCell ref="AR295:AR298"/>
    <mergeCell ref="AR291:AR293"/>
    <mergeCell ref="AR288:AR290"/>
    <mergeCell ref="AR285:AR287"/>
    <mergeCell ref="AR282:AR284"/>
    <mergeCell ref="AR278:AR280"/>
    <mergeCell ref="AR274:AR277"/>
    <mergeCell ref="AJ322:AJ323"/>
    <mergeCell ref="AK322:AK323"/>
    <mergeCell ref="AL322:AL323"/>
    <mergeCell ref="AM322:AM323"/>
    <mergeCell ref="AN322:AN323"/>
    <mergeCell ref="AO322:AO323"/>
    <mergeCell ref="AP322:AP323"/>
    <mergeCell ref="AQ322:AQ323"/>
    <mergeCell ref="AJ324:AJ326"/>
    <mergeCell ref="AK324:AK326"/>
    <mergeCell ref="AL324:AL326"/>
    <mergeCell ref="AM324:AM326"/>
    <mergeCell ref="AN324:AN326"/>
    <mergeCell ref="AO324:AO326"/>
    <mergeCell ref="AP324:AP326"/>
    <mergeCell ref="AQ324:AQ326"/>
    <mergeCell ref="AJ317:AJ319"/>
    <mergeCell ref="AK317:AK319"/>
    <mergeCell ref="AL317:AL319"/>
    <mergeCell ref="AM317:AM319"/>
    <mergeCell ref="AN317:AN319"/>
    <mergeCell ref="AO317:AO319"/>
    <mergeCell ref="AP317:AP319"/>
    <mergeCell ref="AQ317:AQ319"/>
    <mergeCell ref="AJ320:AJ321"/>
    <mergeCell ref="AK320:AK321"/>
    <mergeCell ref="AL320:AL321"/>
    <mergeCell ref="AM320:AM321"/>
    <mergeCell ref="AN320:AN321"/>
    <mergeCell ref="AO320:AO321"/>
    <mergeCell ref="AP320:AP321"/>
    <mergeCell ref="AQ320:AQ321"/>
    <mergeCell ref="AJ313:AJ314"/>
    <mergeCell ref="AK313:AK314"/>
    <mergeCell ref="AL313:AL314"/>
    <mergeCell ref="AM313:AM314"/>
    <mergeCell ref="AN313:AN314"/>
    <mergeCell ref="AO313:AO314"/>
    <mergeCell ref="AP313:AP314"/>
    <mergeCell ref="AQ313:AQ314"/>
    <mergeCell ref="AJ315:AJ316"/>
    <mergeCell ref="AK315:AK316"/>
    <mergeCell ref="AL315:AL316"/>
    <mergeCell ref="AM315:AM316"/>
    <mergeCell ref="AN315:AN316"/>
    <mergeCell ref="AO315:AO316"/>
    <mergeCell ref="AP315:AP316"/>
    <mergeCell ref="AQ315:AQ316"/>
    <mergeCell ref="AJ307:AJ308"/>
    <mergeCell ref="AK307:AK308"/>
    <mergeCell ref="AL307:AL308"/>
    <mergeCell ref="AM307:AM308"/>
    <mergeCell ref="AN307:AN308"/>
    <mergeCell ref="AO307:AO308"/>
    <mergeCell ref="AP307:AP308"/>
    <mergeCell ref="AQ307:AQ308"/>
    <mergeCell ref="AJ309:AJ311"/>
    <mergeCell ref="AK309:AK311"/>
    <mergeCell ref="AL309:AL311"/>
    <mergeCell ref="AM309:AM311"/>
    <mergeCell ref="AN309:AN311"/>
    <mergeCell ref="AO309:AO311"/>
    <mergeCell ref="AP309:AP311"/>
    <mergeCell ref="AQ309:AQ311"/>
    <mergeCell ref="AJ299:AJ300"/>
    <mergeCell ref="AK299:AK300"/>
    <mergeCell ref="AL299:AL300"/>
    <mergeCell ref="AM299:AM300"/>
    <mergeCell ref="AN299:AN300"/>
    <mergeCell ref="AO299:AO300"/>
    <mergeCell ref="AP299:AP300"/>
    <mergeCell ref="AQ299:AQ300"/>
    <mergeCell ref="AJ301:AJ306"/>
    <mergeCell ref="AK301:AK306"/>
    <mergeCell ref="AL301:AL306"/>
    <mergeCell ref="AM301:AM306"/>
    <mergeCell ref="AN301:AN306"/>
    <mergeCell ref="AO301:AO306"/>
    <mergeCell ref="AP301:AP306"/>
    <mergeCell ref="AQ301:AQ306"/>
    <mergeCell ref="AJ291:AJ293"/>
    <mergeCell ref="AK291:AK293"/>
    <mergeCell ref="AL291:AL293"/>
    <mergeCell ref="AM291:AM293"/>
    <mergeCell ref="AN291:AN293"/>
    <mergeCell ref="AO291:AO293"/>
    <mergeCell ref="AP291:AP293"/>
    <mergeCell ref="AQ291:AQ293"/>
    <mergeCell ref="AJ295:AJ298"/>
    <mergeCell ref="AK295:AK298"/>
    <mergeCell ref="AL295:AL298"/>
    <mergeCell ref="AM295:AM298"/>
    <mergeCell ref="AN295:AN298"/>
    <mergeCell ref="AO295:AO298"/>
    <mergeCell ref="AP295:AP298"/>
    <mergeCell ref="AQ295:AQ298"/>
    <mergeCell ref="AJ285:AJ287"/>
    <mergeCell ref="AK285:AK287"/>
    <mergeCell ref="AL285:AL287"/>
    <mergeCell ref="AM285:AM287"/>
    <mergeCell ref="AN285:AN287"/>
    <mergeCell ref="AO285:AO287"/>
    <mergeCell ref="AP285:AP287"/>
    <mergeCell ref="AQ285:AQ287"/>
    <mergeCell ref="AJ288:AJ290"/>
    <mergeCell ref="AK288:AK290"/>
    <mergeCell ref="AL288:AL290"/>
    <mergeCell ref="AM288:AM290"/>
    <mergeCell ref="AN288:AN290"/>
    <mergeCell ref="AO288:AO290"/>
    <mergeCell ref="AP288:AP290"/>
    <mergeCell ref="AQ288:AQ290"/>
    <mergeCell ref="AJ278:AJ280"/>
    <mergeCell ref="AK278:AK280"/>
    <mergeCell ref="AL278:AL280"/>
    <mergeCell ref="AM278:AM280"/>
    <mergeCell ref="AN278:AN280"/>
    <mergeCell ref="AO278:AO280"/>
    <mergeCell ref="AP278:AP280"/>
    <mergeCell ref="AQ278:AQ280"/>
    <mergeCell ref="AJ282:AJ284"/>
    <mergeCell ref="AK282:AK284"/>
    <mergeCell ref="AL282:AL284"/>
    <mergeCell ref="AM282:AM284"/>
    <mergeCell ref="AN282:AN284"/>
    <mergeCell ref="AO282:AO284"/>
    <mergeCell ref="AP282:AP284"/>
    <mergeCell ref="AQ282:AQ284"/>
    <mergeCell ref="AJ272:AJ273"/>
    <mergeCell ref="AK272:AK273"/>
    <mergeCell ref="AL272:AL273"/>
    <mergeCell ref="AM272:AM273"/>
    <mergeCell ref="AN272:AN273"/>
    <mergeCell ref="AO272:AO273"/>
    <mergeCell ref="AP272:AP273"/>
    <mergeCell ref="AQ272:AQ273"/>
    <mergeCell ref="AJ274:AJ277"/>
    <mergeCell ref="AK274:AK277"/>
    <mergeCell ref="AL274:AL277"/>
    <mergeCell ref="AM274:AM277"/>
    <mergeCell ref="AN274:AN277"/>
    <mergeCell ref="AO274:AO277"/>
    <mergeCell ref="AP274:AP277"/>
    <mergeCell ref="AQ274:AQ277"/>
    <mergeCell ref="AJ268:AJ269"/>
    <mergeCell ref="AK268:AK269"/>
    <mergeCell ref="AL268:AL269"/>
    <mergeCell ref="AM268:AM269"/>
    <mergeCell ref="AN268:AN269"/>
    <mergeCell ref="AO268:AO269"/>
    <mergeCell ref="AP268:AP269"/>
    <mergeCell ref="AQ268:AQ269"/>
    <mergeCell ref="AJ270:AJ271"/>
    <mergeCell ref="AK270:AK271"/>
    <mergeCell ref="AL270:AL271"/>
    <mergeCell ref="AM270:AM271"/>
    <mergeCell ref="AN270:AN271"/>
    <mergeCell ref="AO270:AO271"/>
    <mergeCell ref="AP270:AP271"/>
    <mergeCell ref="AQ270:AQ271"/>
    <mergeCell ref="AJ256:AJ260"/>
    <mergeCell ref="AK256:AK260"/>
    <mergeCell ref="AL256:AL260"/>
    <mergeCell ref="AM256:AM260"/>
    <mergeCell ref="AN256:AN260"/>
    <mergeCell ref="AO256:AO260"/>
    <mergeCell ref="AP256:AP260"/>
    <mergeCell ref="AQ256:AQ260"/>
    <mergeCell ref="AJ262:AJ267"/>
    <mergeCell ref="AK262:AK267"/>
    <mergeCell ref="AL262:AL267"/>
    <mergeCell ref="AM262:AM267"/>
    <mergeCell ref="AN262:AN267"/>
    <mergeCell ref="AO262:AO267"/>
    <mergeCell ref="AP262:AP267"/>
    <mergeCell ref="AQ262:AQ267"/>
    <mergeCell ref="AJ242:AJ248"/>
    <mergeCell ref="AK242:AK248"/>
    <mergeCell ref="AL242:AL248"/>
    <mergeCell ref="AM242:AM248"/>
    <mergeCell ref="AN242:AN248"/>
    <mergeCell ref="AO242:AO248"/>
    <mergeCell ref="AP242:AP248"/>
    <mergeCell ref="AQ242:AQ248"/>
    <mergeCell ref="AJ249:AJ255"/>
    <mergeCell ref="AK249:AK255"/>
    <mergeCell ref="AL249:AL255"/>
    <mergeCell ref="AM249:AM255"/>
    <mergeCell ref="AN249:AN255"/>
    <mergeCell ref="AO249:AO255"/>
    <mergeCell ref="AP249:AP255"/>
    <mergeCell ref="AQ249:AQ255"/>
    <mergeCell ref="AJ231:AJ235"/>
    <mergeCell ref="AK231:AK235"/>
    <mergeCell ref="AL231:AL235"/>
    <mergeCell ref="AM231:AM235"/>
    <mergeCell ref="AN231:AN235"/>
    <mergeCell ref="AO231:AO235"/>
    <mergeCell ref="AP231:AP235"/>
    <mergeCell ref="AQ231:AQ235"/>
    <mergeCell ref="AJ236:AJ241"/>
    <mergeCell ref="AK236:AK241"/>
    <mergeCell ref="AL236:AL241"/>
    <mergeCell ref="AM236:AM241"/>
    <mergeCell ref="AN236:AN241"/>
    <mergeCell ref="AO236:AO241"/>
    <mergeCell ref="AP236:AP241"/>
    <mergeCell ref="AQ236:AQ241"/>
    <mergeCell ref="AJ217:AJ223"/>
    <mergeCell ref="AK217:AK223"/>
    <mergeCell ref="AL217:AL223"/>
    <mergeCell ref="AM217:AM223"/>
    <mergeCell ref="AN217:AN223"/>
    <mergeCell ref="AO217:AO223"/>
    <mergeCell ref="AP217:AP223"/>
    <mergeCell ref="AQ217:AQ223"/>
    <mergeCell ref="AJ225:AJ230"/>
    <mergeCell ref="AK225:AK230"/>
    <mergeCell ref="AL225:AL230"/>
    <mergeCell ref="AM225:AM230"/>
    <mergeCell ref="AN225:AN230"/>
    <mergeCell ref="AO225:AO230"/>
    <mergeCell ref="AP225:AP230"/>
    <mergeCell ref="AQ225:AQ230"/>
    <mergeCell ref="AJ208:AJ212"/>
    <mergeCell ref="AK208:AK212"/>
    <mergeCell ref="AL208:AL212"/>
    <mergeCell ref="AM208:AM212"/>
    <mergeCell ref="AN208:AN212"/>
    <mergeCell ref="AO208:AO212"/>
    <mergeCell ref="AP208:AP212"/>
    <mergeCell ref="AQ208:AQ212"/>
    <mergeCell ref="AJ213:AJ215"/>
    <mergeCell ref="AK213:AK215"/>
    <mergeCell ref="AL213:AL215"/>
    <mergeCell ref="AM213:AM215"/>
    <mergeCell ref="AN213:AN215"/>
    <mergeCell ref="AO213:AO215"/>
    <mergeCell ref="AP213:AP215"/>
    <mergeCell ref="AQ213:AQ215"/>
    <mergeCell ref="AJ186:AJ188"/>
    <mergeCell ref="AK186:AK188"/>
    <mergeCell ref="AL186:AL188"/>
    <mergeCell ref="AM186:AM188"/>
    <mergeCell ref="AN186:AN188"/>
    <mergeCell ref="AO186:AO188"/>
    <mergeCell ref="AP186:AP188"/>
    <mergeCell ref="AQ186:AQ188"/>
    <mergeCell ref="AJ190:AJ207"/>
    <mergeCell ref="AK190:AK207"/>
    <mergeCell ref="AL190:AL207"/>
    <mergeCell ref="AM190:AM207"/>
    <mergeCell ref="AN190:AN207"/>
    <mergeCell ref="AO190:AO207"/>
    <mergeCell ref="AP190:AP207"/>
    <mergeCell ref="AQ190:AQ207"/>
    <mergeCell ref="AJ174:AJ179"/>
    <mergeCell ref="AK174:AK179"/>
    <mergeCell ref="AL174:AL179"/>
    <mergeCell ref="AM174:AM179"/>
    <mergeCell ref="AN174:AN179"/>
    <mergeCell ref="AO174:AO179"/>
    <mergeCell ref="AP174:AP179"/>
    <mergeCell ref="AQ174:AQ179"/>
    <mergeCell ref="AJ180:AJ185"/>
    <mergeCell ref="AK180:AK185"/>
    <mergeCell ref="AL180:AL185"/>
    <mergeCell ref="AM180:AM185"/>
    <mergeCell ref="AN180:AN185"/>
    <mergeCell ref="AO180:AO185"/>
    <mergeCell ref="AP180:AP185"/>
    <mergeCell ref="AQ180:AQ185"/>
    <mergeCell ref="AJ169:AJ170"/>
    <mergeCell ref="AK169:AK170"/>
    <mergeCell ref="AL169:AL170"/>
    <mergeCell ref="AM169:AM170"/>
    <mergeCell ref="AN169:AN170"/>
    <mergeCell ref="AO169:AO170"/>
    <mergeCell ref="AP169:AP170"/>
    <mergeCell ref="AQ169:AQ170"/>
    <mergeCell ref="AJ171:AJ172"/>
    <mergeCell ref="AK171:AK172"/>
    <mergeCell ref="AL171:AL172"/>
    <mergeCell ref="AM171:AM172"/>
    <mergeCell ref="AN171:AN172"/>
    <mergeCell ref="AO171:AO172"/>
    <mergeCell ref="AP171:AP172"/>
    <mergeCell ref="AQ171:AQ172"/>
    <mergeCell ref="AJ159:AJ164"/>
    <mergeCell ref="AK159:AK164"/>
    <mergeCell ref="AL159:AL164"/>
    <mergeCell ref="AM159:AM164"/>
    <mergeCell ref="AN159:AN164"/>
    <mergeCell ref="AO159:AO164"/>
    <mergeCell ref="AP159:AP164"/>
    <mergeCell ref="AQ159:AQ164"/>
    <mergeCell ref="AJ165:AJ168"/>
    <mergeCell ref="AK165:AK168"/>
    <mergeCell ref="AL165:AL168"/>
    <mergeCell ref="AM165:AM168"/>
    <mergeCell ref="AN165:AN168"/>
    <mergeCell ref="AO165:AO168"/>
    <mergeCell ref="AP165:AP168"/>
    <mergeCell ref="AQ165:AQ168"/>
    <mergeCell ref="AJ154:AJ156"/>
    <mergeCell ref="AK154:AK156"/>
    <mergeCell ref="AL154:AL156"/>
    <mergeCell ref="AM154:AM156"/>
    <mergeCell ref="AN154:AN156"/>
    <mergeCell ref="AO154:AO156"/>
    <mergeCell ref="AP154:AP156"/>
    <mergeCell ref="AQ154:AQ156"/>
    <mergeCell ref="AJ157:AJ158"/>
    <mergeCell ref="AK157:AK158"/>
    <mergeCell ref="AL157:AL158"/>
    <mergeCell ref="AM157:AM158"/>
    <mergeCell ref="AN157:AN158"/>
    <mergeCell ref="AO157:AO158"/>
    <mergeCell ref="AP157:AP158"/>
    <mergeCell ref="AQ157:AQ158"/>
    <mergeCell ref="AJ149:AJ150"/>
    <mergeCell ref="AK149:AK150"/>
    <mergeCell ref="AL149:AL150"/>
    <mergeCell ref="AM149:AM150"/>
    <mergeCell ref="AN149:AN150"/>
    <mergeCell ref="AO149:AO150"/>
    <mergeCell ref="AP149:AP150"/>
    <mergeCell ref="AQ149:AQ150"/>
    <mergeCell ref="AJ151:AJ152"/>
    <mergeCell ref="AK151:AK152"/>
    <mergeCell ref="AL151:AL152"/>
    <mergeCell ref="AM151:AM152"/>
    <mergeCell ref="AN151:AN152"/>
    <mergeCell ref="AO151:AO152"/>
    <mergeCell ref="AP151:AP152"/>
    <mergeCell ref="AQ151:AQ152"/>
    <mergeCell ref="AJ143:AJ145"/>
    <mergeCell ref="AK143:AK145"/>
    <mergeCell ref="AL143:AL145"/>
    <mergeCell ref="AM143:AM145"/>
    <mergeCell ref="AN143:AN145"/>
    <mergeCell ref="AO143:AO145"/>
    <mergeCell ref="AP143:AP145"/>
    <mergeCell ref="AQ143:AQ145"/>
    <mergeCell ref="AJ146:AJ148"/>
    <mergeCell ref="AK146:AK148"/>
    <mergeCell ref="AL146:AL148"/>
    <mergeCell ref="AM146:AM148"/>
    <mergeCell ref="AN146:AN148"/>
    <mergeCell ref="AO146:AO148"/>
    <mergeCell ref="AP146:AP148"/>
    <mergeCell ref="AQ146:AQ148"/>
    <mergeCell ref="AJ132:AJ135"/>
    <mergeCell ref="AK132:AK135"/>
    <mergeCell ref="AL132:AL135"/>
    <mergeCell ref="AM132:AM135"/>
    <mergeCell ref="AN132:AN135"/>
    <mergeCell ref="AO132:AO135"/>
    <mergeCell ref="AP132:AP135"/>
    <mergeCell ref="AQ132:AQ135"/>
    <mergeCell ref="AJ136:AJ142"/>
    <mergeCell ref="AK136:AK142"/>
    <mergeCell ref="AL136:AL142"/>
    <mergeCell ref="AM136:AM142"/>
    <mergeCell ref="AN136:AN142"/>
    <mergeCell ref="AO136:AO142"/>
    <mergeCell ref="AP136:AP142"/>
    <mergeCell ref="AQ136:AQ142"/>
    <mergeCell ref="AJ125:AJ128"/>
    <mergeCell ref="AK125:AK128"/>
    <mergeCell ref="AL125:AL128"/>
    <mergeCell ref="AM125:AM128"/>
    <mergeCell ref="AN125:AN128"/>
    <mergeCell ref="AO125:AO128"/>
    <mergeCell ref="AP125:AP128"/>
    <mergeCell ref="AQ125:AQ128"/>
    <mergeCell ref="AJ129:AJ131"/>
    <mergeCell ref="AK129:AK131"/>
    <mergeCell ref="AL129:AL131"/>
    <mergeCell ref="AM129:AM131"/>
    <mergeCell ref="AN129:AN131"/>
    <mergeCell ref="AO129:AO131"/>
    <mergeCell ref="AP129:AP131"/>
    <mergeCell ref="AQ129:AQ131"/>
    <mergeCell ref="AJ109:AJ112"/>
    <mergeCell ref="AK109:AK112"/>
    <mergeCell ref="AL109:AL112"/>
    <mergeCell ref="AM109:AM112"/>
    <mergeCell ref="AN109:AN112"/>
    <mergeCell ref="AO109:AO112"/>
    <mergeCell ref="AP109:AP112"/>
    <mergeCell ref="AQ109:AQ112"/>
    <mergeCell ref="AJ114:AJ123"/>
    <mergeCell ref="AK114:AK123"/>
    <mergeCell ref="AL114:AL123"/>
    <mergeCell ref="AM114:AM123"/>
    <mergeCell ref="AN114:AN123"/>
    <mergeCell ref="AO114:AO123"/>
    <mergeCell ref="AP114:AP123"/>
    <mergeCell ref="AQ114:AQ123"/>
    <mergeCell ref="AJ98:AJ103"/>
    <mergeCell ref="AK98:AK103"/>
    <mergeCell ref="AL98:AL103"/>
    <mergeCell ref="AM98:AM103"/>
    <mergeCell ref="AN98:AN103"/>
    <mergeCell ref="AO98:AO103"/>
    <mergeCell ref="AP98:AP103"/>
    <mergeCell ref="AQ98:AQ103"/>
    <mergeCell ref="AJ105:AJ108"/>
    <mergeCell ref="AK105:AK108"/>
    <mergeCell ref="AL105:AL108"/>
    <mergeCell ref="AM105:AM108"/>
    <mergeCell ref="AN105:AN108"/>
    <mergeCell ref="AO105:AO108"/>
    <mergeCell ref="AP105:AP108"/>
    <mergeCell ref="AQ105:AQ108"/>
    <mergeCell ref="AJ93:AJ95"/>
    <mergeCell ref="AK93:AK95"/>
    <mergeCell ref="AL93:AL95"/>
    <mergeCell ref="AM93:AM95"/>
    <mergeCell ref="AN93:AN95"/>
    <mergeCell ref="AO93:AO95"/>
    <mergeCell ref="AP93:AP95"/>
    <mergeCell ref="AQ93:AQ95"/>
    <mergeCell ref="AJ96:AJ97"/>
    <mergeCell ref="AK96:AK97"/>
    <mergeCell ref="AL96:AL97"/>
    <mergeCell ref="AM96:AM97"/>
    <mergeCell ref="AN96:AN97"/>
    <mergeCell ref="AO96:AO97"/>
    <mergeCell ref="AP96:AP97"/>
    <mergeCell ref="AQ96:AQ97"/>
    <mergeCell ref="AJ82:AJ88"/>
    <mergeCell ref="AK82:AK88"/>
    <mergeCell ref="AL82:AL88"/>
    <mergeCell ref="AM82:AM88"/>
    <mergeCell ref="AN82:AN88"/>
    <mergeCell ref="AO82:AO88"/>
    <mergeCell ref="AP82:AP88"/>
    <mergeCell ref="AQ82:AQ88"/>
    <mergeCell ref="AJ89:AJ92"/>
    <mergeCell ref="AK89:AK92"/>
    <mergeCell ref="AL89:AL92"/>
    <mergeCell ref="AM89:AM92"/>
    <mergeCell ref="AN89:AN92"/>
    <mergeCell ref="AO89:AO92"/>
    <mergeCell ref="AP89:AP92"/>
    <mergeCell ref="AQ89:AQ92"/>
    <mergeCell ref="AJ65:AJ76"/>
    <mergeCell ref="AK65:AK76"/>
    <mergeCell ref="AL65:AL76"/>
    <mergeCell ref="AM65:AM76"/>
    <mergeCell ref="AN65:AN76"/>
    <mergeCell ref="AO65:AO76"/>
    <mergeCell ref="AP65:AP76"/>
    <mergeCell ref="AQ65:AQ76"/>
    <mergeCell ref="AJ77:AJ80"/>
    <mergeCell ref="AK77:AK80"/>
    <mergeCell ref="AL77:AL80"/>
    <mergeCell ref="AM77:AM80"/>
    <mergeCell ref="AN77:AN80"/>
    <mergeCell ref="AO77:AO80"/>
    <mergeCell ref="AP77:AP80"/>
    <mergeCell ref="AQ77:AQ80"/>
    <mergeCell ref="AJ57:AJ59"/>
    <mergeCell ref="AK57:AK59"/>
    <mergeCell ref="AL57:AL59"/>
    <mergeCell ref="AM57:AM59"/>
    <mergeCell ref="AN57:AN59"/>
    <mergeCell ref="AO57:AO59"/>
    <mergeCell ref="AP57:AP59"/>
    <mergeCell ref="AQ57:AQ59"/>
    <mergeCell ref="AJ60:AJ63"/>
    <mergeCell ref="AK60:AK63"/>
    <mergeCell ref="AL60:AL63"/>
    <mergeCell ref="AM60:AM63"/>
    <mergeCell ref="AN60:AN63"/>
    <mergeCell ref="AO60:AO63"/>
    <mergeCell ref="AP60:AP63"/>
    <mergeCell ref="AQ60:AQ63"/>
    <mergeCell ref="AJ48:AJ53"/>
    <mergeCell ref="AK48:AK53"/>
    <mergeCell ref="AL48:AL53"/>
    <mergeCell ref="AM48:AM53"/>
    <mergeCell ref="AN48:AN53"/>
    <mergeCell ref="AO48:AO53"/>
    <mergeCell ref="AP48:AP53"/>
    <mergeCell ref="AQ48:AQ53"/>
    <mergeCell ref="AJ54:AJ56"/>
    <mergeCell ref="AK54:AK56"/>
    <mergeCell ref="AL54:AL56"/>
    <mergeCell ref="AM54:AM56"/>
    <mergeCell ref="AN54:AN56"/>
    <mergeCell ref="AO54:AO56"/>
    <mergeCell ref="AP54:AP56"/>
    <mergeCell ref="AQ54:AQ56"/>
    <mergeCell ref="AJ37:AJ44"/>
    <mergeCell ref="AK37:AK44"/>
    <mergeCell ref="AL37:AL44"/>
    <mergeCell ref="AM37:AM44"/>
    <mergeCell ref="AN37:AN44"/>
    <mergeCell ref="AO37:AO44"/>
    <mergeCell ref="AP37:AP44"/>
    <mergeCell ref="AQ37:AQ44"/>
    <mergeCell ref="AJ45:AJ47"/>
    <mergeCell ref="AK45:AK47"/>
    <mergeCell ref="AL45:AL47"/>
    <mergeCell ref="AM45:AM47"/>
    <mergeCell ref="AN45:AN47"/>
    <mergeCell ref="AO45:AO47"/>
    <mergeCell ref="AP45:AP47"/>
    <mergeCell ref="AQ45:AQ47"/>
    <mergeCell ref="AJ28:AJ32"/>
    <mergeCell ref="AK28:AK32"/>
    <mergeCell ref="AL28:AL32"/>
    <mergeCell ref="AM28:AM32"/>
    <mergeCell ref="AN28:AN32"/>
    <mergeCell ref="AO28:AO32"/>
    <mergeCell ref="AP28:AP32"/>
    <mergeCell ref="AQ28:AQ32"/>
    <mergeCell ref="AJ33:AJ35"/>
    <mergeCell ref="AK33:AK35"/>
    <mergeCell ref="AL33:AL35"/>
    <mergeCell ref="AM33:AM35"/>
    <mergeCell ref="AN33:AN35"/>
    <mergeCell ref="AO33:AO35"/>
    <mergeCell ref="AP33:AP35"/>
    <mergeCell ref="AQ33:AQ35"/>
    <mergeCell ref="AJ15:AJ19"/>
    <mergeCell ref="AK15:AK19"/>
    <mergeCell ref="AL15:AL19"/>
    <mergeCell ref="AM15:AM19"/>
    <mergeCell ref="AN15:AN19"/>
    <mergeCell ref="AO15:AO19"/>
    <mergeCell ref="AP15:AP19"/>
    <mergeCell ref="AQ15:AQ19"/>
    <mergeCell ref="AJ21:AJ27"/>
    <mergeCell ref="AK21:AK27"/>
    <mergeCell ref="AL21:AL27"/>
    <mergeCell ref="AM21:AM27"/>
    <mergeCell ref="AN21:AN27"/>
    <mergeCell ref="AO21:AO27"/>
    <mergeCell ref="AP21:AP27"/>
    <mergeCell ref="AQ21:AQ27"/>
    <mergeCell ref="AJ2:AR2"/>
    <mergeCell ref="AJ5:AJ9"/>
    <mergeCell ref="AK5:AK9"/>
    <mergeCell ref="AL5:AL9"/>
    <mergeCell ref="AM5:AM9"/>
    <mergeCell ref="AN5:AN9"/>
    <mergeCell ref="AO5:AO9"/>
    <mergeCell ref="AP5:AP9"/>
    <mergeCell ref="AQ5:AQ9"/>
    <mergeCell ref="AR5:AR9"/>
    <mergeCell ref="AJ10:AJ14"/>
    <mergeCell ref="AK10:AK14"/>
    <mergeCell ref="AL10:AL14"/>
    <mergeCell ref="AM10:AM14"/>
    <mergeCell ref="AN10:AN14"/>
    <mergeCell ref="AO10:AO14"/>
    <mergeCell ref="AP10:AP14"/>
    <mergeCell ref="AQ10:AQ14"/>
    <mergeCell ref="AR10:AR14"/>
    <mergeCell ref="AB322:AB323"/>
    <mergeCell ref="AC322:AC323"/>
    <mergeCell ref="AD322:AD323"/>
    <mergeCell ref="AE322:AE323"/>
    <mergeCell ref="AF322:AF323"/>
    <mergeCell ref="AG322:AG323"/>
    <mergeCell ref="AH322:AH323"/>
    <mergeCell ref="AI322:AI323"/>
    <mergeCell ref="AB324:AB326"/>
    <mergeCell ref="AC324:AC326"/>
    <mergeCell ref="AD324:AD326"/>
    <mergeCell ref="AE324:AE326"/>
    <mergeCell ref="AF324:AF326"/>
    <mergeCell ref="AG324:AG326"/>
    <mergeCell ref="AH324:AH326"/>
    <mergeCell ref="AI324:AI326"/>
    <mergeCell ref="AB317:AB319"/>
    <mergeCell ref="AC317:AC319"/>
    <mergeCell ref="AD317:AD319"/>
    <mergeCell ref="AE317:AE319"/>
    <mergeCell ref="AF317:AF319"/>
    <mergeCell ref="AG317:AG319"/>
    <mergeCell ref="AH317:AH319"/>
    <mergeCell ref="AI317:AI319"/>
    <mergeCell ref="AB320:AB321"/>
    <mergeCell ref="AC320:AC321"/>
    <mergeCell ref="AD320:AD321"/>
    <mergeCell ref="AE320:AE321"/>
    <mergeCell ref="AF320:AF321"/>
    <mergeCell ref="AG320:AG321"/>
    <mergeCell ref="AH320:AH321"/>
    <mergeCell ref="AI320:AI321"/>
    <mergeCell ref="AB313:AB314"/>
    <mergeCell ref="AC313:AC314"/>
    <mergeCell ref="AD313:AD314"/>
    <mergeCell ref="AE313:AE314"/>
    <mergeCell ref="AF313:AF314"/>
    <mergeCell ref="AG313:AG314"/>
    <mergeCell ref="AH313:AH314"/>
    <mergeCell ref="AI313:AI314"/>
    <mergeCell ref="AB315:AB316"/>
    <mergeCell ref="AC315:AC316"/>
    <mergeCell ref="AD315:AD316"/>
    <mergeCell ref="AE315:AE316"/>
    <mergeCell ref="AF315:AF316"/>
    <mergeCell ref="AG315:AG316"/>
    <mergeCell ref="AH315:AH316"/>
    <mergeCell ref="AI315:AI316"/>
    <mergeCell ref="AB307:AB308"/>
    <mergeCell ref="AC307:AC308"/>
    <mergeCell ref="AD307:AD308"/>
    <mergeCell ref="AE307:AE308"/>
    <mergeCell ref="AF307:AF308"/>
    <mergeCell ref="AG307:AG308"/>
    <mergeCell ref="AH307:AH308"/>
    <mergeCell ref="AI307:AI308"/>
    <mergeCell ref="AB309:AB311"/>
    <mergeCell ref="AC309:AC311"/>
    <mergeCell ref="AD309:AD311"/>
    <mergeCell ref="AE309:AE311"/>
    <mergeCell ref="AF309:AF311"/>
    <mergeCell ref="AG309:AG311"/>
    <mergeCell ref="AH309:AH311"/>
    <mergeCell ref="AI309:AI311"/>
    <mergeCell ref="AB299:AB300"/>
    <mergeCell ref="AC299:AC300"/>
    <mergeCell ref="AD299:AD300"/>
    <mergeCell ref="AE299:AE300"/>
    <mergeCell ref="AF299:AF300"/>
    <mergeCell ref="AG299:AG300"/>
    <mergeCell ref="AH299:AH300"/>
    <mergeCell ref="AI299:AI300"/>
    <mergeCell ref="AB301:AB306"/>
    <mergeCell ref="AC301:AC306"/>
    <mergeCell ref="AD301:AD306"/>
    <mergeCell ref="AE301:AE306"/>
    <mergeCell ref="AF301:AF306"/>
    <mergeCell ref="AG301:AG306"/>
    <mergeCell ref="AH301:AH306"/>
    <mergeCell ref="AI301:AI306"/>
    <mergeCell ref="AB291:AB293"/>
    <mergeCell ref="AC291:AC293"/>
    <mergeCell ref="AD291:AD293"/>
    <mergeCell ref="AE291:AE293"/>
    <mergeCell ref="AF291:AF293"/>
    <mergeCell ref="AG291:AG293"/>
    <mergeCell ref="AH291:AH293"/>
    <mergeCell ref="AI291:AI293"/>
    <mergeCell ref="AB295:AB298"/>
    <mergeCell ref="AC295:AC298"/>
    <mergeCell ref="AD295:AD298"/>
    <mergeCell ref="AE295:AE298"/>
    <mergeCell ref="AF295:AF298"/>
    <mergeCell ref="AG295:AG298"/>
    <mergeCell ref="AH295:AH298"/>
    <mergeCell ref="AI295:AI298"/>
    <mergeCell ref="AB285:AB287"/>
    <mergeCell ref="AC285:AC287"/>
    <mergeCell ref="AD285:AD287"/>
    <mergeCell ref="AE285:AE287"/>
    <mergeCell ref="AF285:AF287"/>
    <mergeCell ref="AG285:AG287"/>
    <mergeCell ref="AH285:AH287"/>
    <mergeCell ref="AI285:AI287"/>
    <mergeCell ref="AB288:AB290"/>
    <mergeCell ref="AC288:AC290"/>
    <mergeCell ref="AD288:AD290"/>
    <mergeCell ref="AE288:AE290"/>
    <mergeCell ref="AF288:AF290"/>
    <mergeCell ref="AG288:AG290"/>
    <mergeCell ref="AH288:AH290"/>
    <mergeCell ref="AI288:AI290"/>
    <mergeCell ref="AB278:AB280"/>
    <mergeCell ref="AC278:AC280"/>
    <mergeCell ref="AD278:AD280"/>
    <mergeCell ref="AE278:AE280"/>
    <mergeCell ref="AF278:AF280"/>
    <mergeCell ref="AG278:AG280"/>
    <mergeCell ref="AH278:AH280"/>
    <mergeCell ref="AI278:AI280"/>
    <mergeCell ref="AB282:AB284"/>
    <mergeCell ref="AC282:AC284"/>
    <mergeCell ref="AD282:AD284"/>
    <mergeCell ref="AE282:AE284"/>
    <mergeCell ref="AF282:AF284"/>
    <mergeCell ref="AG282:AG284"/>
    <mergeCell ref="AH282:AH284"/>
    <mergeCell ref="AI282:AI284"/>
    <mergeCell ref="AB272:AB273"/>
    <mergeCell ref="AC272:AC273"/>
    <mergeCell ref="AD272:AD273"/>
    <mergeCell ref="AE272:AE273"/>
    <mergeCell ref="AF272:AF273"/>
    <mergeCell ref="AG272:AG273"/>
    <mergeCell ref="AH272:AH273"/>
    <mergeCell ref="AI272:AI273"/>
    <mergeCell ref="AB274:AB277"/>
    <mergeCell ref="AC274:AC277"/>
    <mergeCell ref="AD274:AD277"/>
    <mergeCell ref="AE274:AE277"/>
    <mergeCell ref="AF274:AF277"/>
    <mergeCell ref="AG274:AG277"/>
    <mergeCell ref="AH274:AH277"/>
    <mergeCell ref="AI274:AI277"/>
    <mergeCell ref="AB268:AB269"/>
    <mergeCell ref="AC268:AC269"/>
    <mergeCell ref="AD268:AD269"/>
    <mergeCell ref="AE268:AE269"/>
    <mergeCell ref="AF268:AF269"/>
    <mergeCell ref="AG268:AG269"/>
    <mergeCell ref="AH268:AH269"/>
    <mergeCell ref="AI268:AI269"/>
    <mergeCell ref="AB270:AB271"/>
    <mergeCell ref="AC270:AC271"/>
    <mergeCell ref="AD270:AD271"/>
    <mergeCell ref="AE270:AE271"/>
    <mergeCell ref="AF270:AF271"/>
    <mergeCell ref="AG270:AG271"/>
    <mergeCell ref="AH270:AH271"/>
    <mergeCell ref="AI270:AI271"/>
    <mergeCell ref="AB256:AB260"/>
    <mergeCell ref="AC256:AC260"/>
    <mergeCell ref="AD256:AD260"/>
    <mergeCell ref="AE256:AE260"/>
    <mergeCell ref="AF256:AF260"/>
    <mergeCell ref="AG256:AG260"/>
    <mergeCell ref="AH256:AH260"/>
    <mergeCell ref="AI256:AI260"/>
    <mergeCell ref="AB262:AB267"/>
    <mergeCell ref="AC262:AC267"/>
    <mergeCell ref="AD262:AD267"/>
    <mergeCell ref="AE262:AE267"/>
    <mergeCell ref="AF262:AF267"/>
    <mergeCell ref="AG262:AG267"/>
    <mergeCell ref="AH262:AH267"/>
    <mergeCell ref="AI262:AI267"/>
    <mergeCell ref="AB242:AB248"/>
    <mergeCell ref="AC242:AC248"/>
    <mergeCell ref="AD242:AD248"/>
    <mergeCell ref="AE242:AE248"/>
    <mergeCell ref="AF242:AF248"/>
    <mergeCell ref="AG242:AG248"/>
    <mergeCell ref="AH242:AH248"/>
    <mergeCell ref="AI242:AI248"/>
    <mergeCell ref="AB249:AB255"/>
    <mergeCell ref="AC249:AC255"/>
    <mergeCell ref="AD249:AD255"/>
    <mergeCell ref="AE249:AE255"/>
    <mergeCell ref="AF249:AF255"/>
    <mergeCell ref="AG249:AG255"/>
    <mergeCell ref="AH249:AH255"/>
    <mergeCell ref="AI249:AI255"/>
    <mergeCell ref="AB231:AB235"/>
    <mergeCell ref="AC231:AC235"/>
    <mergeCell ref="AD231:AD235"/>
    <mergeCell ref="AE231:AE235"/>
    <mergeCell ref="AF231:AF235"/>
    <mergeCell ref="AG231:AG235"/>
    <mergeCell ref="AH231:AH235"/>
    <mergeCell ref="AI231:AI235"/>
    <mergeCell ref="AB236:AB241"/>
    <mergeCell ref="AC236:AC241"/>
    <mergeCell ref="AD236:AD241"/>
    <mergeCell ref="AE236:AE241"/>
    <mergeCell ref="AF236:AF241"/>
    <mergeCell ref="AG236:AG241"/>
    <mergeCell ref="AH236:AH241"/>
    <mergeCell ref="AI236:AI241"/>
    <mergeCell ref="AB217:AB223"/>
    <mergeCell ref="AC217:AC223"/>
    <mergeCell ref="AD217:AD223"/>
    <mergeCell ref="AE217:AE223"/>
    <mergeCell ref="AF217:AF223"/>
    <mergeCell ref="AG217:AG223"/>
    <mergeCell ref="AH217:AH223"/>
    <mergeCell ref="AI217:AI223"/>
    <mergeCell ref="AB225:AB230"/>
    <mergeCell ref="AC225:AC230"/>
    <mergeCell ref="AD225:AD230"/>
    <mergeCell ref="AE225:AE230"/>
    <mergeCell ref="AF225:AF230"/>
    <mergeCell ref="AG225:AG230"/>
    <mergeCell ref="AH225:AH230"/>
    <mergeCell ref="AI225:AI230"/>
    <mergeCell ref="AB208:AB212"/>
    <mergeCell ref="AC208:AC212"/>
    <mergeCell ref="AD208:AD212"/>
    <mergeCell ref="AE208:AE212"/>
    <mergeCell ref="AF208:AF212"/>
    <mergeCell ref="AG208:AG212"/>
    <mergeCell ref="AH208:AH212"/>
    <mergeCell ref="AI208:AI212"/>
    <mergeCell ref="AB213:AB215"/>
    <mergeCell ref="AC213:AC215"/>
    <mergeCell ref="AD213:AD215"/>
    <mergeCell ref="AE213:AE215"/>
    <mergeCell ref="AF213:AF215"/>
    <mergeCell ref="AG213:AG215"/>
    <mergeCell ref="AH213:AH215"/>
    <mergeCell ref="AI213:AI215"/>
    <mergeCell ref="AB180:AB185"/>
    <mergeCell ref="AC180:AC185"/>
    <mergeCell ref="AD180:AD185"/>
    <mergeCell ref="AE180:AE185"/>
    <mergeCell ref="AF180:AF185"/>
    <mergeCell ref="AG180:AG185"/>
    <mergeCell ref="AH180:AH185"/>
    <mergeCell ref="AI180:AI185"/>
    <mergeCell ref="AB190:AB207"/>
    <mergeCell ref="AC190:AC207"/>
    <mergeCell ref="AD190:AD207"/>
    <mergeCell ref="AE190:AE207"/>
    <mergeCell ref="AF190:AF207"/>
    <mergeCell ref="AG190:AG207"/>
    <mergeCell ref="AH190:AH207"/>
    <mergeCell ref="AI190:AI207"/>
    <mergeCell ref="AB186:AB188"/>
    <mergeCell ref="AC186:AC188"/>
    <mergeCell ref="AD186:AD188"/>
    <mergeCell ref="AE186:AE188"/>
    <mergeCell ref="AF186:AF188"/>
    <mergeCell ref="AG186:AG188"/>
    <mergeCell ref="AH186:AH188"/>
    <mergeCell ref="AI186:AI188"/>
    <mergeCell ref="AB174:AB179"/>
    <mergeCell ref="AC174:AC179"/>
    <mergeCell ref="AD174:AD179"/>
    <mergeCell ref="AE174:AE179"/>
    <mergeCell ref="AF174:AF179"/>
    <mergeCell ref="AG174:AG179"/>
    <mergeCell ref="AH174:AH179"/>
    <mergeCell ref="AI174:AI179"/>
    <mergeCell ref="AB169:AB170"/>
    <mergeCell ref="AC169:AC170"/>
    <mergeCell ref="AD169:AD170"/>
    <mergeCell ref="AE169:AE170"/>
    <mergeCell ref="AF169:AF170"/>
    <mergeCell ref="AG169:AG170"/>
    <mergeCell ref="AH169:AH170"/>
    <mergeCell ref="AI169:AI170"/>
    <mergeCell ref="AB171:AB172"/>
    <mergeCell ref="AC171:AC172"/>
    <mergeCell ref="AD171:AD172"/>
    <mergeCell ref="AE171:AE172"/>
    <mergeCell ref="AF171:AF172"/>
    <mergeCell ref="AG171:AG172"/>
    <mergeCell ref="AH171:AH172"/>
    <mergeCell ref="AI171:AI172"/>
    <mergeCell ref="AB165:AB168"/>
    <mergeCell ref="AC165:AC168"/>
    <mergeCell ref="AD165:AD168"/>
    <mergeCell ref="AE165:AE168"/>
    <mergeCell ref="AF165:AF168"/>
    <mergeCell ref="AG165:AG168"/>
    <mergeCell ref="AH165:AH168"/>
    <mergeCell ref="AI165:AI168"/>
    <mergeCell ref="AB157:AB158"/>
    <mergeCell ref="AC157:AC158"/>
    <mergeCell ref="AD157:AD158"/>
    <mergeCell ref="AE157:AE158"/>
    <mergeCell ref="AF157:AF158"/>
    <mergeCell ref="AG157:AG158"/>
    <mergeCell ref="AH157:AH158"/>
    <mergeCell ref="AI157:AI158"/>
    <mergeCell ref="AB159:AB164"/>
    <mergeCell ref="AC159:AC164"/>
    <mergeCell ref="AD159:AD164"/>
    <mergeCell ref="AE159:AE164"/>
    <mergeCell ref="AF159:AF164"/>
    <mergeCell ref="AG159:AG164"/>
    <mergeCell ref="AH159:AH164"/>
    <mergeCell ref="AI159:AI164"/>
    <mergeCell ref="AB151:AB152"/>
    <mergeCell ref="AC151:AC152"/>
    <mergeCell ref="AD151:AD152"/>
    <mergeCell ref="AE151:AE152"/>
    <mergeCell ref="AF151:AF152"/>
    <mergeCell ref="AG151:AG152"/>
    <mergeCell ref="AH151:AH152"/>
    <mergeCell ref="AI151:AI152"/>
    <mergeCell ref="AB154:AB156"/>
    <mergeCell ref="AC154:AC156"/>
    <mergeCell ref="AD154:AD156"/>
    <mergeCell ref="AE154:AE156"/>
    <mergeCell ref="AF154:AF156"/>
    <mergeCell ref="AG154:AG156"/>
    <mergeCell ref="AH154:AH156"/>
    <mergeCell ref="AI154:AI156"/>
    <mergeCell ref="AB146:AB148"/>
    <mergeCell ref="AC146:AC148"/>
    <mergeCell ref="AD146:AD148"/>
    <mergeCell ref="AE146:AE148"/>
    <mergeCell ref="AF146:AF148"/>
    <mergeCell ref="AG146:AG148"/>
    <mergeCell ref="AH146:AH148"/>
    <mergeCell ref="AI146:AI148"/>
    <mergeCell ref="AB149:AB150"/>
    <mergeCell ref="AC149:AC150"/>
    <mergeCell ref="AD149:AD150"/>
    <mergeCell ref="AE149:AE150"/>
    <mergeCell ref="AF149:AF150"/>
    <mergeCell ref="AG149:AG150"/>
    <mergeCell ref="AH149:AH150"/>
    <mergeCell ref="AI149:AI150"/>
    <mergeCell ref="AB136:AB142"/>
    <mergeCell ref="AC136:AC142"/>
    <mergeCell ref="AD136:AD142"/>
    <mergeCell ref="AE136:AE142"/>
    <mergeCell ref="AF136:AF142"/>
    <mergeCell ref="AG136:AG142"/>
    <mergeCell ref="AH136:AH142"/>
    <mergeCell ref="AI136:AI142"/>
    <mergeCell ref="AB143:AB145"/>
    <mergeCell ref="AC143:AC145"/>
    <mergeCell ref="AD143:AD145"/>
    <mergeCell ref="AE143:AE145"/>
    <mergeCell ref="AF143:AF145"/>
    <mergeCell ref="AG143:AG145"/>
    <mergeCell ref="AH143:AH145"/>
    <mergeCell ref="AI143:AI145"/>
    <mergeCell ref="AB129:AB131"/>
    <mergeCell ref="AC129:AC131"/>
    <mergeCell ref="AD129:AD131"/>
    <mergeCell ref="AE129:AE131"/>
    <mergeCell ref="AF129:AF131"/>
    <mergeCell ref="AG129:AG131"/>
    <mergeCell ref="AH129:AH131"/>
    <mergeCell ref="AI129:AI131"/>
    <mergeCell ref="AB132:AB135"/>
    <mergeCell ref="AC132:AC135"/>
    <mergeCell ref="AD132:AD135"/>
    <mergeCell ref="AE132:AE135"/>
    <mergeCell ref="AF132:AF135"/>
    <mergeCell ref="AG132:AG135"/>
    <mergeCell ref="AH132:AH135"/>
    <mergeCell ref="AI132:AI135"/>
    <mergeCell ref="AB114:AB123"/>
    <mergeCell ref="AC114:AC123"/>
    <mergeCell ref="AD114:AD123"/>
    <mergeCell ref="AE114:AE123"/>
    <mergeCell ref="AF114:AF123"/>
    <mergeCell ref="AG114:AG123"/>
    <mergeCell ref="AH114:AH123"/>
    <mergeCell ref="AI114:AI123"/>
    <mergeCell ref="AB125:AB128"/>
    <mergeCell ref="AC125:AC128"/>
    <mergeCell ref="AD125:AD128"/>
    <mergeCell ref="AE125:AE128"/>
    <mergeCell ref="AF125:AF128"/>
    <mergeCell ref="AG125:AG128"/>
    <mergeCell ref="AH125:AH128"/>
    <mergeCell ref="AI125:AI128"/>
    <mergeCell ref="AB105:AB108"/>
    <mergeCell ref="AC105:AC108"/>
    <mergeCell ref="AD105:AD108"/>
    <mergeCell ref="AE105:AE108"/>
    <mergeCell ref="AF105:AF108"/>
    <mergeCell ref="AG105:AG108"/>
    <mergeCell ref="AH105:AH108"/>
    <mergeCell ref="AI105:AI108"/>
    <mergeCell ref="AB109:AB112"/>
    <mergeCell ref="AC109:AC112"/>
    <mergeCell ref="AD109:AD112"/>
    <mergeCell ref="AE109:AE112"/>
    <mergeCell ref="AF109:AF112"/>
    <mergeCell ref="AG109:AG112"/>
    <mergeCell ref="AH109:AH112"/>
    <mergeCell ref="AI109:AI112"/>
    <mergeCell ref="AB96:AB97"/>
    <mergeCell ref="AC96:AC97"/>
    <mergeCell ref="AD96:AD97"/>
    <mergeCell ref="AE96:AE97"/>
    <mergeCell ref="AF96:AF97"/>
    <mergeCell ref="AG96:AG97"/>
    <mergeCell ref="AH96:AH97"/>
    <mergeCell ref="AI96:AI97"/>
    <mergeCell ref="AB98:AB103"/>
    <mergeCell ref="AC98:AC103"/>
    <mergeCell ref="AD98:AD103"/>
    <mergeCell ref="AE98:AE103"/>
    <mergeCell ref="AF98:AF103"/>
    <mergeCell ref="AG98:AG103"/>
    <mergeCell ref="AH98:AH103"/>
    <mergeCell ref="AI98:AI103"/>
    <mergeCell ref="AB89:AB92"/>
    <mergeCell ref="AC89:AC92"/>
    <mergeCell ref="AD89:AD92"/>
    <mergeCell ref="AE89:AE92"/>
    <mergeCell ref="AF89:AF92"/>
    <mergeCell ref="AG89:AG92"/>
    <mergeCell ref="AH89:AH92"/>
    <mergeCell ref="AI89:AI92"/>
    <mergeCell ref="AB93:AB95"/>
    <mergeCell ref="AC93:AC95"/>
    <mergeCell ref="AD93:AD95"/>
    <mergeCell ref="AE93:AE95"/>
    <mergeCell ref="AF93:AF95"/>
    <mergeCell ref="AG93:AG95"/>
    <mergeCell ref="AH93:AH95"/>
    <mergeCell ref="AI93:AI95"/>
    <mergeCell ref="AB77:AB80"/>
    <mergeCell ref="AC77:AC80"/>
    <mergeCell ref="AD77:AD80"/>
    <mergeCell ref="AE77:AE80"/>
    <mergeCell ref="AF77:AF80"/>
    <mergeCell ref="AG77:AG80"/>
    <mergeCell ref="AH77:AH80"/>
    <mergeCell ref="AI77:AI80"/>
    <mergeCell ref="AB82:AB88"/>
    <mergeCell ref="AC82:AC88"/>
    <mergeCell ref="AD82:AD88"/>
    <mergeCell ref="AE82:AE88"/>
    <mergeCell ref="AF82:AF88"/>
    <mergeCell ref="AG82:AG88"/>
    <mergeCell ref="AH82:AH88"/>
    <mergeCell ref="AI82:AI88"/>
    <mergeCell ref="AB60:AB63"/>
    <mergeCell ref="AC60:AC63"/>
    <mergeCell ref="AD60:AD63"/>
    <mergeCell ref="AE60:AE63"/>
    <mergeCell ref="AF60:AF63"/>
    <mergeCell ref="AG60:AG63"/>
    <mergeCell ref="AH60:AH63"/>
    <mergeCell ref="AI60:AI63"/>
    <mergeCell ref="AB65:AB76"/>
    <mergeCell ref="AC65:AC76"/>
    <mergeCell ref="AD65:AD76"/>
    <mergeCell ref="AE65:AE76"/>
    <mergeCell ref="AF65:AF76"/>
    <mergeCell ref="AG65:AG76"/>
    <mergeCell ref="AH65:AH76"/>
    <mergeCell ref="AI65:AI76"/>
    <mergeCell ref="AC54:AC56"/>
    <mergeCell ref="AD54:AD56"/>
    <mergeCell ref="AE54:AE56"/>
    <mergeCell ref="AF54:AF56"/>
    <mergeCell ref="AG54:AG56"/>
    <mergeCell ref="AH54:AH56"/>
    <mergeCell ref="AI54:AI56"/>
    <mergeCell ref="AB57:AB59"/>
    <mergeCell ref="AC57:AC59"/>
    <mergeCell ref="AD57:AD59"/>
    <mergeCell ref="AE57:AE59"/>
    <mergeCell ref="AF57:AF59"/>
    <mergeCell ref="AG57:AG59"/>
    <mergeCell ref="AH57:AH59"/>
    <mergeCell ref="AI57:AI59"/>
    <mergeCell ref="AI37:AI44"/>
    <mergeCell ref="AB45:AB47"/>
    <mergeCell ref="AC45:AC47"/>
    <mergeCell ref="AD45:AD47"/>
    <mergeCell ref="AE45:AE47"/>
    <mergeCell ref="AF45:AF47"/>
    <mergeCell ref="AG45:AG47"/>
    <mergeCell ref="AH45:AH47"/>
    <mergeCell ref="AI45:AI47"/>
    <mergeCell ref="AB48:AB53"/>
    <mergeCell ref="AC48:AC53"/>
    <mergeCell ref="AD48:AD53"/>
    <mergeCell ref="AE48:AE53"/>
    <mergeCell ref="AF48:AF53"/>
    <mergeCell ref="AG48:AG53"/>
    <mergeCell ref="AH48:AH53"/>
    <mergeCell ref="AI48:AI53"/>
    <mergeCell ref="AI21:AI27"/>
    <mergeCell ref="AB28:AB32"/>
    <mergeCell ref="AC28:AC32"/>
    <mergeCell ref="AD28:AD32"/>
    <mergeCell ref="AE28:AE32"/>
    <mergeCell ref="AF28:AF32"/>
    <mergeCell ref="AG28:AG32"/>
    <mergeCell ref="AH28:AH32"/>
    <mergeCell ref="AI28:AI32"/>
    <mergeCell ref="AB33:AB35"/>
    <mergeCell ref="AC33:AC35"/>
    <mergeCell ref="AD33:AD35"/>
    <mergeCell ref="AE33:AE35"/>
    <mergeCell ref="AF33:AF35"/>
    <mergeCell ref="AG33:AG35"/>
    <mergeCell ref="AH33:AH35"/>
    <mergeCell ref="AI33:AI35"/>
    <mergeCell ref="AI10:AI14"/>
    <mergeCell ref="AB15:AB19"/>
    <mergeCell ref="AC15:AC19"/>
    <mergeCell ref="AD15:AD19"/>
    <mergeCell ref="AE15:AE19"/>
    <mergeCell ref="AF15:AF19"/>
    <mergeCell ref="AB2:AI2"/>
    <mergeCell ref="AB5:AB9"/>
    <mergeCell ref="AC5:AC9"/>
    <mergeCell ref="AD5:AD9"/>
    <mergeCell ref="AE5:AE9"/>
    <mergeCell ref="AF5:AF9"/>
    <mergeCell ref="AG5:AG9"/>
    <mergeCell ref="AH5:AH9"/>
    <mergeCell ref="AI5:AI9"/>
    <mergeCell ref="AG15:AG19"/>
    <mergeCell ref="AH15:AH19"/>
    <mergeCell ref="AI15:AI19"/>
    <mergeCell ref="F324:F326"/>
    <mergeCell ref="K324:K326"/>
    <mergeCell ref="A324:A326"/>
    <mergeCell ref="B324:B326"/>
    <mergeCell ref="D324:D326"/>
    <mergeCell ref="C324:C326"/>
    <mergeCell ref="E324:E326"/>
    <mergeCell ref="L324:L326"/>
    <mergeCell ref="F320:F321"/>
    <mergeCell ref="AB10:AB14"/>
    <mergeCell ref="AC10:AC14"/>
    <mergeCell ref="AD10:AD14"/>
    <mergeCell ref="AE10:AE14"/>
    <mergeCell ref="AF10:AF14"/>
    <mergeCell ref="AG10:AG14"/>
    <mergeCell ref="AH10:AH14"/>
    <mergeCell ref="AB21:AB27"/>
    <mergeCell ref="AC21:AC27"/>
    <mergeCell ref="AD21:AD27"/>
    <mergeCell ref="AE21:AE27"/>
    <mergeCell ref="AF21:AF27"/>
    <mergeCell ref="AG21:AG27"/>
    <mergeCell ref="AH21:AH27"/>
    <mergeCell ref="AB37:AB44"/>
    <mergeCell ref="AC37:AC44"/>
    <mergeCell ref="AD37:AD44"/>
    <mergeCell ref="AE37:AE44"/>
    <mergeCell ref="AF37:AF44"/>
    <mergeCell ref="AG37:AG44"/>
    <mergeCell ref="AH37:AH44"/>
    <mergeCell ref="AB54:AB56"/>
    <mergeCell ref="R320:R321"/>
    <mergeCell ref="P309:P311"/>
    <mergeCell ref="P313:P314"/>
    <mergeCell ref="M322:M323"/>
    <mergeCell ref="N322:N323"/>
    <mergeCell ref="R322:R323"/>
    <mergeCell ref="S320:S321"/>
    <mergeCell ref="S322:S323"/>
    <mergeCell ref="P320:P321"/>
    <mergeCell ref="P322:P323"/>
    <mergeCell ref="Q320:Q321"/>
    <mergeCell ref="Q322:Q323"/>
    <mergeCell ref="A322:A323"/>
    <mergeCell ref="B322:B323"/>
    <mergeCell ref="D322:D323"/>
    <mergeCell ref="C322:C323"/>
    <mergeCell ref="E322:E323"/>
    <mergeCell ref="A320:A321"/>
    <mergeCell ref="B320:B321"/>
    <mergeCell ref="D320:D321"/>
    <mergeCell ref="C320:C321"/>
    <mergeCell ref="E320:E321"/>
    <mergeCell ref="L322:L323"/>
    <mergeCell ref="F322:F323"/>
    <mergeCell ref="M324:M326"/>
    <mergeCell ref="N324:N326"/>
    <mergeCell ref="R324:R326"/>
    <mergeCell ref="S324:S326"/>
    <mergeCell ref="P324:P326"/>
    <mergeCell ref="O324:O326"/>
    <mergeCell ref="Q324:Q326"/>
    <mergeCell ref="S315:S316"/>
    <mergeCell ref="S317:S319"/>
    <mergeCell ref="P315:P316"/>
    <mergeCell ref="P317:P319"/>
    <mergeCell ref="O315:O316"/>
    <mergeCell ref="O317:O319"/>
    <mergeCell ref="Q315:Q316"/>
    <mergeCell ref="Q317:Q319"/>
    <mergeCell ref="K322:K323"/>
    <mergeCell ref="K320:K321"/>
    <mergeCell ref="O320:O321"/>
    <mergeCell ref="O322:O323"/>
    <mergeCell ref="B309:B311"/>
    <mergeCell ref="D309:D311"/>
    <mergeCell ref="C309:C311"/>
    <mergeCell ref="E309:E311"/>
    <mergeCell ref="L313:L314"/>
    <mergeCell ref="F313:F314"/>
    <mergeCell ref="K313:K314"/>
    <mergeCell ref="F315:F316"/>
    <mergeCell ref="K315:K316"/>
    <mergeCell ref="L315:L316"/>
    <mergeCell ref="M315:M316"/>
    <mergeCell ref="N315:N316"/>
    <mergeCell ref="L320:L321"/>
    <mergeCell ref="M320:M321"/>
    <mergeCell ref="N320:N321"/>
    <mergeCell ref="B315:B316"/>
    <mergeCell ref="D315:D316"/>
    <mergeCell ref="C315:C316"/>
    <mergeCell ref="E315:E316"/>
    <mergeCell ref="L317:L319"/>
    <mergeCell ref="F317:F319"/>
    <mergeCell ref="K317:K319"/>
    <mergeCell ref="B313:B314"/>
    <mergeCell ref="M317:M319"/>
    <mergeCell ref="N317:N319"/>
    <mergeCell ref="D317:D319"/>
    <mergeCell ref="C317:C319"/>
    <mergeCell ref="E317:E319"/>
    <mergeCell ref="M309:M311"/>
    <mergeCell ref="N309:N311"/>
    <mergeCell ref="D313:D314"/>
    <mergeCell ref="C313:C314"/>
    <mergeCell ref="E313:E314"/>
    <mergeCell ref="A317:A319"/>
    <mergeCell ref="B317:B319"/>
    <mergeCell ref="A307:A308"/>
    <mergeCell ref="B307:B308"/>
    <mergeCell ref="D307:D308"/>
    <mergeCell ref="F309:F311"/>
    <mergeCell ref="K309:K311"/>
    <mergeCell ref="L309:L311"/>
    <mergeCell ref="C307:C308"/>
    <mergeCell ref="E307:E308"/>
    <mergeCell ref="M301:M306"/>
    <mergeCell ref="N301:N306"/>
    <mergeCell ref="R301:R306"/>
    <mergeCell ref="M307:M308"/>
    <mergeCell ref="N307:N308"/>
    <mergeCell ref="R307:R308"/>
    <mergeCell ref="Q309:Q311"/>
    <mergeCell ref="Q313:Q314"/>
    <mergeCell ref="O309:O311"/>
    <mergeCell ref="O313:O314"/>
    <mergeCell ref="A309:A311"/>
    <mergeCell ref="A315:A316"/>
    <mergeCell ref="A313:A314"/>
    <mergeCell ref="R315:R316"/>
    <mergeCell ref="R317:R319"/>
    <mergeCell ref="R309:R311"/>
    <mergeCell ref="M313:M314"/>
    <mergeCell ref="N313:N314"/>
    <mergeCell ref="R313:R314"/>
    <mergeCell ref="P307:P308"/>
    <mergeCell ref="O301:O306"/>
    <mergeCell ref="O307:O308"/>
    <mergeCell ref="Q301:Q306"/>
    <mergeCell ref="Q307:Q308"/>
    <mergeCell ref="P299:P300"/>
    <mergeCell ref="Q299:Q300"/>
    <mergeCell ref="O299:O300"/>
    <mergeCell ref="A301:A306"/>
    <mergeCell ref="B301:B306"/>
    <mergeCell ref="D301:D306"/>
    <mergeCell ref="C301:C306"/>
    <mergeCell ref="E301:E306"/>
    <mergeCell ref="L307:L308"/>
    <mergeCell ref="F307:F308"/>
    <mergeCell ref="K307:K308"/>
    <mergeCell ref="A299:A300"/>
    <mergeCell ref="B299:B300"/>
    <mergeCell ref="D299:D300"/>
    <mergeCell ref="C299:C300"/>
    <mergeCell ref="E299:E300"/>
    <mergeCell ref="D295:D298"/>
    <mergeCell ref="C295:C298"/>
    <mergeCell ref="E295:E298"/>
    <mergeCell ref="L299:L300"/>
    <mergeCell ref="F299:F300"/>
    <mergeCell ref="K299:K300"/>
    <mergeCell ref="F301:F306"/>
    <mergeCell ref="K301:K306"/>
    <mergeCell ref="L301:L306"/>
    <mergeCell ref="M288:M290"/>
    <mergeCell ref="N288:N290"/>
    <mergeCell ref="R288:R290"/>
    <mergeCell ref="M291:M293"/>
    <mergeCell ref="N291:N293"/>
    <mergeCell ref="R291:R293"/>
    <mergeCell ref="P288:P290"/>
    <mergeCell ref="P291:P293"/>
    <mergeCell ref="O288:O290"/>
    <mergeCell ref="O291:O293"/>
    <mergeCell ref="M299:M300"/>
    <mergeCell ref="N299:N300"/>
    <mergeCell ref="R299:R300"/>
    <mergeCell ref="P301:P306"/>
    <mergeCell ref="S288:S290"/>
    <mergeCell ref="S291:S293"/>
    <mergeCell ref="F295:F298"/>
    <mergeCell ref="K295:K298"/>
    <mergeCell ref="L295:L298"/>
    <mergeCell ref="M295:M298"/>
    <mergeCell ref="N295:N298"/>
    <mergeCell ref="R295:R298"/>
    <mergeCell ref="Q288:Q290"/>
    <mergeCell ref="Q291:Q293"/>
    <mergeCell ref="P295:P298"/>
    <mergeCell ref="O295:O298"/>
    <mergeCell ref="Q295:Q298"/>
    <mergeCell ref="S295:S298"/>
    <mergeCell ref="A291:A293"/>
    <mergeCell ref="B291:B293"/>
    <mergeCell ref="D291:D293"/>
    <mergeCell ref="C291:C293"/>
    <mergeCell ref="E291:E293"/>
    <mergeCell ref="A288:A290"/>
    <mergeCell ref="B288:B290"/>
    <mergeCell ref="D288:D290"/>
    <mergeCell ref="C288:C290"/>
    <mergeCell ref="E288:E290"/>
    <mergeCell ref="L291:L293"/>
    <mergeCell ref="F291:F293"/>
    <mergeCell ref="K291:K293"/>
    <mergeCell ref="F288:F290"/>
    <mergeCell ref="K288:K290"/>
    <mergeCell ref="L288:L290"/>
    <mergeCell ref="A295:A298"/>
    <mergeCell ref="B295:B298"/>
    <mergeCell ref="M278:M280"/>
    <mergeCell ref="N278:N280"/>
    <mergeCell ref="R278:R280"/>
    <mergeCell ref="P278:P280"/>
    <mergeCell ref="O278:O280"/>
    <mergeCell ref="Q278:Q280"/>
    <mergeCell ref="A285:A287"/>
    <mergeCell ref="B285:B287"/>
    <mergeCell ref="D285:D287"/>
    <mergeCell ref="C285:C287"/>
    <mergeCell ref="E285:E287"/>
    <mergeCell ref="A282:A284"/>
    <mergeCell ref="B282:B284"/>
    <mergeCell ref="D282:D284"/>
    <mergeCell ref="C282:C284"/>
    <mergeCell ref="E282:E284"/>
    <mergeCell ref="L285:L287"/>
    <mergeCell ref="F285:F287"/>
    <mergeCell ref="K285:K287"/>
    <mergeCell ref="F282:F284"/>
    <mergeCell ref="K282:K284"/>
    <mergeCell ref="L282:L284"/>
    <mergeCell ref="M282:M284"/>
    <mergeCell ref="N282:N284"/>
    <mergeCell ref="R282:R284"/>
    <mergeCell ref="M285:M287"/>
    <mergeCell ref="N285:N287"/>
    <mergeCell ref="R285:R287"/>
    <mergeCell ref="P282:P284"/>
    <mergeCell ref="P285:P287"/>
    <mergeCell ref="A278:A280"/>
    <mergeCell ref="B278:B280"/>
    <mergeCell ref="D278:D280"/>
    <mergeCell ref="C278:C280"/>
    <mergeCell ref="E278:E280"/>
    <mergeCell ref="A274:A277"/>
    <mergeCell ref="B274:B277"/>
    <mergeCell ref="D274:D277"/>
    <mergeCell ref="C274:C277"/>
    <mergeCell ref="E274:E277"/>
    <mergeCell ref="L278:L280"/>
    <mergeCell ref="L274:L277"/>
    <mergeCell ref="F278:F280"/>
    <mergeCell ref="K278:K280"/>
    <mergeCell ref="F274:F277"/>
    <mergeCell ref="K274:K277"/>
    <mergeCell ref="A272:A273"/>
    <mergeCell ref="B272:B273"/>
    <mergeCell ref="D272:D273"/>
    <mergeCell ref="C272:C273"/>
    <mergeCell ref="E272:E273"/>
    <mergeCell ref="A236:A241"/>
    <mergeCell ref="B236:B241"/>
    <mergeCell ref="D236:D241"/>
    <mergeCell ref="C236:C241"/>
    <mergeCell ref="E236:E241"/>
    <mergeCell ref="L236:L241"/>
    <mergeCell ref="F236:F238"/>
    <mergeCell ref="A270:A271"/>
    <mergeCell ref="B270:B271"/>
    <mergeCell ref="D270:D271"/>
    <mergeCell ref="C270:C271"/>
    <mergeCell ref="E270:E271"/>
    <mergeCell ref="L272:L273"/>
    <mergeCell ref="F272:F273"/>
    <mergeCell ref="K272:K273"/>
    <mergeCell ref="F270:F271"/>
    <mergeCell ref="K270:K271"/>
    <mergeCell ref="L270:L271"/>
    <mergeCell ref="A262:A267"/>
    <mergeCell ref="B262:B267"/>
    <mergeCell ref="D262:D267"/>
    <mergeCell ref="C262:C267"/>
    <mergeCell ref="E262:E267"/>
    <mergeCell ref="A256:A260"/>
    <mergeCell ref="B256:B260"/>
    <mergeCell ref="D256:D260"/>
    <mergeCell ref="C256:C260"/>
    <mergeCell ref="E256:E260"/>
    <mergeCell ref="L262:L267"/>
    <mergeCell ref="A268:A269"/>
    <mergeCell ref="B268:B269"/>
    <mergeCell ref="D268:D269"/>
    <mergeCell ref="S242:S248"/>
    <mergeCell ref="S249:S255"/>
    <mergeCell ref="S256:S260"/>
    <mergeCell ref="O231:O235"/>
    <mergeCell ref="O236:O241"/>
    <mergeCell ref="O242:O248"/>
    <mergeCell ref="F231:F235"/>
    <mergeCell ref="K231:K235"/>
    <mergeCell ref="O249:O255"/>
    <mergeCell ref="O256:O260"/>
    <mergeCell ref="O262:O267"/>
    <mergeCell ref="P262:P267"/>
    <mergeCell ref="Q231:Q235"/>
    <mergeCell ref="Q236:Q241"/>
    <mergeCell ref="A249:A255"/>
    <mergeCell ref="B249:B255"/>
    <mergeCell ref="D249:D255"/>
    <mergeCell ref="C249:C255"/>
    <mergeCell ref="E249:E255"/>
    <mergeCell ref="K236:K241"/>
    <mergeCell ref="F239:F241"/>
    <mergeCell ref="A242:A248"/>
    <mergeCell ref="B242:B248"/>
    <mergeCell ref="D242:D248"/>
    <mergeCell ref="C242:C248"/>
    <mergeCell ref="E242:E248"/>
    <mergeCell ref="L249:L255"/>
    <mergeCell ref="F249:F252"/>
    <mergeCell ref="K249:K255"/>
    <mergeCell ref="F253:F255"/>
    <mergeCell ref="L242:L248"/>
    <mergeCell ref="F242:F248"/>
    <mergeCell ref="A231:A235"/>
    <mergeCell ref="B231:B235"/>
    <mergeCell ref="D231:D235"/>
    <mergeCell ref="C231:C235"/>
    <mergeCell ref="E231:E235"/>
    <mergeCell ref="L231:L235"/>
    <mergeCell ref="F213:F215"/>
    <mergeCell ref="M213:M215"/>
    <mergeCell ref="N213:N215"/>
    <mergeCell ref="R213:R215"/>
    <mergeCell ref="M217:M223"/>
    <mergeCell ref="N217:N223"/>
    <mergeCell ref="R217:R223"/>
    <mergeCell ref="S213:S215"/>
    <mergeCell ref="S217:S223"/>
    <mergeCell ref="F225:F227"/>
    <mergeCell ref="K225:K230"/>
    <mergeCell ref="F228:F230"/>
    <mergeCell ref="A225:A230"/>
    <mergeCell ref="B225:B230"/>
    <mergeCell ref="D225:D230"/>
    <mergeCell ref="C225:C230"/>
    <mergeCell ref="E225:E230"/>
    <mergeCell ref="L225:L230"/>
    <mergeCell ref="M225:M230"/>
    <mergeCell ref="N225:N230"/>
    <mergeCell ref="R225:R230"/>
    <mergeCell ref="P225:P230"/>
    <mergeCell ref="O225:O230"/>
    <mergeCell ref="Q225:Q230"/>
    <mergeCell ref="M231:M235"/>
    <mergeCell ref="A186:A188"/>
    <mergeCell ref="M208:M212"/>
    <mergeCell ref="N208:N212"/>
    <mergeCell ref="R208:R212"/>
    <mergeCell ref="A217:A223"/>
    <mergeCell ref="B217:B223"/>
    <mergeCell ref="D217:D223"/>
    <mergeCell ref="C217:C223"/>
    <mergeCell ref="E217:E223"/>
    <mergeCell ref="L217:L223"/>
    <mergeCell ref="A213:A215"/>
    <mergeCell ref="B213:B215"/>
    <mergeCell ref="D213:D215"/>
    <mergeCell ref="C213:C215"/>
    <mergeCell ref="L213:L215"/>
    <mergeCell ref="E213:E215"/>
    <mergeCell ref="F217:F219"/>
    <mergeCell ref="K217:K223"/>
    <mergeCell ref="F220:F221"/>
    <mergeCell ref="F222:F223"/>
    <mergeCell ref="F208:F209"/>
    <mergeCell ref="K213:K215"/>
    <mergeCell ref="K208:K212"/>
    <mergeCell ref="P208:P212"/>
    <mergeCell ref="P213:P215"/>
    <mergeCell ref="P217:P223"/>
    <mergeCell ref="O208:O212"/>
    <mergeCell ref="O213:O215"/>
    <mergeCell ref="O217:O223"/>
    <mergeCell ref="Q208:Q212"/>
    <mergeCell ref="Q213:Q215"/>
    <mergeCell ref="Q217:Q223"/>
    <mergeCell ref="D171:D172"/>
    <mergeCell ref="C180:C185"/>
    <mergeCell ref="E180:E185"/>
    <mergeCell ref="L180:L185"/>
    <mergeCell ref="M180:M185"/>
    <mergeCell ref="F210:F212"/>
    <mergeCell ref="A208:A212"/>
    <mergeCell ref="B208:B212"/>
    <mergeCell ref="D208:D212"/>
    <mergeCell ref="C208:C212"/>
    <mergeCell ref="E208:E212"/>
    <mergeCell ref="L208:L212"/>
    <mergeCell ref="A190:A207"/>
    <mergeCell ref="B190:B207"/>
    <mergeCell ref="D190:D207"/>
    <mergeCell ref="C190:C207"/>
    <mergeCell ref="E190:E207"/>
    <mergeCell ref="L190:L207"/>
    <mergeCell ref="F192:F195"/>
    <mergeCell ref="F196:F197"/>
    <mergeCell ref="F198:F200"/>
    <mergeCell ref="F201:F204"/>
    <mergeCell ref="F205:F207"/>
    <mergeCell ref="F190:F191"/>
    <mergeCell ref="K190:K207"/>
    <mergeCell ref="M190:M207"/>
    <mergeCell ref="F180:F182"/>
    <mergeCell ref="D186:D188"/>
    <mergeCell ref="E186:E188"/>
    <mergeCell ref="F186:F188"/>
    <mergeCell ref="A174:A179"/>
    <mergeCell ref="B174:B179"/>
    <mergeCell ref="D174:D179"/>
    <mergeCell ref="C174:C179"/>
    <mergeCell ref="E174:E179"/>
    <mergeCell ref="L174:L179"/>
    <mergeCell ref="M174:M179"/>
    <mergeCell ref="N174:N179"/>
    <mergeCell ref="R174:R179"/>
    <mergeCell ref="S174:S179"/>
    <mergeCell ref="P174:P179"/>
    <mergeCell ref="O174:O179"/>
    <mergeCell ref="Q174:Q179"/>
    <mergeCell ref="F174:F176"/>
    <mergeCell ref="K174:K179"/>
    <mergeCell ref="K180:K185"/>
    <mergeCell ref="F183:F185"/>
    <mergeCell ref="F177:F179"/>
    <mergeCell ref="A180:A185"/>
    <mergeCell ref="B180:B185"/>
    <mergeCell ref="D180:D185"/>
    <mergeCell ref="C171:C172"/>
    <mergeCell ref="E171:E172"/>
    <mergeCell ref="F171:F172"/>
    <mergeCell ref="K171:K172"/>
    <mergeCell ref="L171:L172"/>
    <mergeCell ref="R165:R168"/>
    <mergeCell ref="S159:S164"/>
    <mergeCell ref="S165:S168"/>
    <mergeCell ref="P159:P164"/>
    <mergeCell ref="P165:P168"/>
    <mergeCell ref="Q159:Q164"/>
    <mergeCell ref="Q165:Q168"/>
    <mergeCell ref="A169:A170"/>
    <mergeCell ref="B169:B170"/>
    <mergeCell ref="D169:D170"/>
    <mergeCell ref="C169:C170"/>
    <mergeCell ref="E169:E170"/>
    <mergeCell ref="L169:L170"/>
    <mergeCell ref="F169:F170"/>
    <mergeCell ref="K169:K170"/>
    <mergeCell ref="M169:M170"/>
    <mergeCell ref="N169:N170"/>
    <mergeCell ref="S169:S170"/>
    <mergeCell ref="M165:M168"/>
    <mergeCell ref="M171:M172"/>
    <mergeCell ref="N171:N172"/>
    <mergeCell ref="R171:R172"/>
    <mergeCell ref="S171:S172"/>
    <mergeCell ref="A171:A172"/>
    <mergeCell ref="B171:B172"/>
    <mergeCell ref="O169:O170"/>
    <mergeCell ref="O171:O172"/>
    <mergeCell ref="R157:R158"/>
    <mergeCell ref="S154:S156"/>
    <mergeCell ref="S157:S158"/>
    <mergeCell ref="P154:P156"/>
    <mergeCell ref="P157:P158"/>
    <mergeCell ref="Q154:Q156"/>
    <mergeCell ref="Q157:Q158"/>
    <mergeCell ref="A165:A168"/>
    <mergeCell ref="B165:B168"/>
    <mergeCell ref="D165:D168"/>
    <mergeCell ref="C165:C168"/>
    <mergeCell ref="E165:E168"/>
    <mergeCell ref="A159:A164"/>
    <mergeCell ref="B159:B164"/>
    <mergeCell ref="D159:D164"/>
    <mergeCell ref="C159:C164"/>
    <mergeCell ref="E159:E164"/>
    <mergeCell ref="L165:L168"/>
    <mergeCell ref="F165:F168"/>
    <mergeCell ref="K165:K168"/>
    <mergeCell ref="F159:F164"/>
    <mergeCell ref="K159:K164"/>
    <mergeCell ref="L159:L164"/>
    <mergeCell ref="M159:M164"/>
    <mergeCell ref="N159:N164"/>
    <mergeCell ref="R159:R164"/>
    <mergeCell ref="N165:N168"/>
    <mergeCell ref="O157:O158"/>
    <mergeCell ref="M151:M152"/>
    <mergeCell ref="N151:N152"/>
    <mergeCell ref="R151:R152"/>
    <mergeCell ref="S151:S152"/>
    <mergeCell ref="P149:P150"/>
    <mergeCell ref="P151:P152"/>
    <mergeCell ref="O149:O150"/>
    <mergeCell ref="Q149:Q150"/>
    <mergeCell ref="Q151:Q152"/>
    <mergeCell ref="A157:A158"/>
    <mergeCell ref="B157:B158"/>
    <mergeCell ref="D157:D158"/>
    <mergeCell ref="C157:C158"/>
    <mergeCell ref="E157:E158"/>
    <mergeCell ref="A154:A156"/>
    <mergeCell ref="B154:B156"/>
    <mergeCell ref="D154:D156"/>
    <mergeCell ref="C154:C156"/>
    <mergeCell ref="E154:E156"/>
    <mergeCell ref="L157:L158"/>
    <mergeCell ref="F157:F158"/>
    <mergeCell ref="K157:K158"/>
    <mergeCell ref="F154:F156"/>
    <mergeCell ref="K154:K156"/>
    <mergeCell ref="L154:L156"/>
    <mergeCell ref="M154:M156"/>
    <mergeCell ref="N154:N156"/>
    <mergeCell ref="R154:R156"/>
    <mergeCell ref="A151:A152"/>
    <mergeCell ref="B151:B152"/>
    <mergeCell ref="M157:M158"/>
    <mergeCell ref="N157:N158"/>
    <mergeCell ref="D151:D152"/>
    <mergeCell ref="C151:C152"/>
    <mergeCell ref="E151:E152"/>
    <mergeCell ref="A149:A150"/>
    <mergeCell ref="B149:B150"/>
    <mergeCell ref="D149:D150"/>
    <mergeCell ref="C149:C150"/>
    <mergeCell ref="E149:E150"/>
    <mergeCell ref="L151:L152"/>
    <mergeCell ref="F151:F152"/>
    <mergeCell ref="K151:K152"/>
    <mergeCell ref="F149:F150"/>
    <mergeCell ref="K149:K150"/>
    <mergeCell ref="L149:L150"/>
    <mergeCell ref="M114:M123"/>
    <mergeCell ref="N114:N123"/>
    <mergeCell ref="A146:A148"/>
    <mergeCell ref="B146:B148"/>
    <mergeCell ref="D146:D148"/>
    <mergeCell ref="C146:C148"/>
    <mergeCell ref="E146:E148"/>
    <mergeCell ref="A143:A145"/>
    <mergeCell ref="B143:B145"/>
    <mergeCell ref="D143:D145"/>
    <mergeCell ref="C143:C145"/>
    <mergeCell ref="E143:E145"/>
    <mergeCell ref="L146:L148"/>
    <mergeCell ref="F146:F148"/>
    <mergeCell ref="K146:K148"/>
    <mergeCell ref="F143:F145"/>
    <mergeCell ref="A136:A142"/>
    <mergeCell ref="B136:B142"/>
    <mergeCell ref="E136:E142"/>
    <mergeCell ref="A132:A135"/>
    <mergeCell ref="B132:B135"/>
    <mergeCell ref="D132:D135"/>
    <mergeCell ref="A114:A123"/>
    <mergeCell ref="B114:B123"/>
    <mergeCell ref="D114:D123"/>
    <mergeCell ref="C114:C123"/>
    <mergeCell ref="E114:E123"/>
    <mergeCell ref="L114:L123"/>
    <mergeCell ref="F125:F128"/>
    <mergeCell ref="F114:F123"/>
    <mergeCell ref="K114:K123"/>
    <mergeCell ref="M146:M148"/>
    <mergeCell ref="N146:N148"/>
    <mergeCell ref="R146:R148"/>
    <mergeCell ref="P143:P145"/>
    <mergeCell ref="P146:P148"/>
    <mergeCell ref="O146:O148"/>
    <mergeCell ref="Q143:Q145"/>
    <mergeCell ref="Q146:Q148"/>
    <mergeCell ref="P132:P135"/>
    <mergeCell ref="P136:P142"/>
    <mergeCell ref="R132:R135"/>
    <mergeCell ref="R136:R142"/>
    <mergeCell ref="K143:K145"/>
    <mergeCell ref="L143:L145"/>
    <mergeCell ref="L129:L131"/>
    <mergeCell ref="F129:F131"/>
    <mergeCell ref="K129:K131"/>
    <mergeCell ref="F132:F135"/>
    <mergeCell ref="K132:K135"/>
    <mergeCell ref="L132:L135"/>
    <mergeCell ref="M132:M135"/>
    <mergeCell ref="A125:A128"/>
    <mergeCell ref="B125:B128"/>
    <mergeCell ref="D125:D128"/>
    <mergeCell ref="C125:C128"/>
    <mergeCell ref="E125:E128"/>
    <mergeCell ref="M129:M131"/>
    <mergeCell ref="R125:R128"/>
    <mergeCell ref="M143:M145"/>
    <mergeCell ref="N143:N145"/>
    <mergeCell ref="C132:C135"/>
    <mergeCell ref="E132:E135"/>
    <mergeCell ref="L136:L142"/>
    <mergeCell ref="K125:K128"/>
    <mergeCell ref="N132:N135"/>
    <mergeCell ref="M136:M142"/>
    <mergeCell ref="N136:N142"/>
    <mergeCell ref="D136:D142"/>
    <mergeCell ref="C136:C142"/>
    <mergeCell ref="P129:P131"/>
    <mergeCell ref="Q129:Q131"/>
    <mergeCell ref="Q132:Q135"/>
    <mergeCell ref="Q136:Q142"/>
    <mergeCell ref="R143:R145"/>
    <mergeCell ref="A129:A131"/>
    <mergeCell ref="B129:B131"/>
    <mergeCell ref="D129:D131"/>
    <mergeCell ref="C129:C131"/>
    <mergeCell ref="E129:E131"/>
    <mergeCell ref="F136:F142"/>
    <mergeCell ref="K136:K142"/>
    <mergeCell ref="L125:L128"/>
    <mergeCell ref="N96:N97"/>
    <mergeCell ref="R96:R97"/>
    <mergeCell ref="P96:P97"/>
    <mergeCell ref="O96:O97"/>
    <mergeCell ref="M98:M103"/>
    <mergeCell ref="N98:N103"/>
    <mergeCell ref="R98:R103"/>
    <mergeCell ref="A109:A112"/>
    <mergeCell ref="B109:B112"/>
    <mergeCell ref="D109:D112"/>
    <mergeCell ref="C109:C112"/>
    <mergeCell ref="E109:E112"/>
    <mergeCell ref="A105:A108"/>
    <mergeCell ref="B105:B108"/>
    <mergeCell ref="D105:D108"/>
    <mergeCell ref="C105:C108"/>
    <mergeCell ref="E105:E108"/>
    <mergeCell ref="L109:L112"/>
    <mergeCell ref="F109:F112"/>
    <mergeCell ref="K109:K112"/>
    <mergeCell ref="F105:F108"/>
    <mergeCell ref="K105:K108"/>
    <mergeCell ref="L105:L108"/>
    <mergeCell ref="M105:M108"/>
    <mergeCell ref="N105:N108"/>
    <mergeCell ref="R105:R108"/>
    <mergeCell ref="M109:M112"/>
    <mergeCell ref="N109:N112"/>
    <mergeCell ref="L89:L92"/>
    <mergeCell ref="R109:R112"/>
    <mergeCell ref="C98:C103"/>
    <mergeCell ref="E98:E103"/>
    <mergeCell ref="A96:A97"/>
    <mergeCell ref="B96:B97"/>
    <mergeCell ref="D96:D97"/>
    <mergeCell ref="C96:C97"/>
    <mergeCell ref="E96:E97"/>
    <mergeCell ref="L98:L103"/>
    <mergeCell ref="F98:F99"/>
    <mergeCell ref="K98:K103"/>
    <mergeCell ref="F100:F103"/>
    <mergeCell ref="F96:F97"/>
    <mergeCell ref="K96:K97"/>
    <mergeCell ref="L96:L97"/>
    <mergeCell ref="M96:M97"/>
    <mergeCell ref="Q105:Q108"/>
    <mergeCell ref="Q109:Q112"/>
    <mergeCell ref="P98:P103"/>
    <mergeCell ref="P105:P108"/>
    <mergeCell ref="P109:P112"/>
    <mergeCell ref="O98:O103"/>
    <mergeCell ref="Q96:Q97"/>
    <mergeCell ref="Q98:Q103"/>
    <mergeCell ref="A98:A103"/>
    <mergeCell ref="B98:B103"/>
    <mergeCell ref="D98:D103"/>
    <mergeCell ref="A93:A95"/>
    <mergeCell ref="F93:F95"/>
    <mergeCell ref="K93:K95"/>
    <mergeCell ref="F89:F92"/>
    <mergeCell ref="F82:F86"/>
    <mergeCell ref="K82:K88"/>
    <mergeCell ref="F87:F88"/>
    <mergeCell ref="L77:L80"/>
    <mergeCell ref="F77:F80"/>
    <mergeCell ref="K77:K80"/>
    <mergeCell ref="A77:A80"/>
    <mergeCell ref="B77:B80"/>
    <mergeCell ref="D77:D80"/>
    <mergeCell ref="C77:C80"/>
    <mergeCell ref="E77:E80"/>
    <mergeCell ref="O77:O80"/>
    <mergeCell ref="O82:O88"/>
    <mergeCell ref="A82:A88"/>
    <mergeCell ref="B82:B88"/>
    <mergeCell ref="D82:D88"/>
    <mergeCell ref="C82:C88"/>
    <mergeCell ref="E82:E88"/>
    <mergeCell ref="L82:L88"/>
    <mergeCell ref="A65:A76"/>
    <mergeCell ref="B65:B76"/>
    <mergeCell ref="D65:D76"/>
    <mergeCell ref="B93:B95"/>
    <mergeCell ref="D93:D95"/>
    <mergeCell ref="C65:C76"/>
    <mergeCell ref="E65:E76"/>
    <mergeCell ref="A60:A63"/>
    <mergeCell ref="B60:B63"/>
    <mergeCell ref="D60:D63"/>
    <mergeCell ref="C60:C63"/>
    <mergeCell ref="E60:E63"/>
    <mergeCell ref="L60:L63"/>
    <mergeCell ref="M60:M63"/>
    <mergeCell ref="P60:P63"/>
    <mergeCell ref="P65:P76"/>
    <mergeCell ref="O60:O63"/>
    <mergeCell ref="O65:O76"/>
    <mergeCell ref="L65:L76"/>
    <mergeCell ref="F65:F76"/>
    <mergeCell ref="K65:K76"/>
    <mergeCell ref="P93:P95"/>
    <mergeCell ref="O89:O92"/>
    <mergeCell ref="O93:O95"/>
    <mergeCell ref="C93:C95"/>
    <mergeCell ref="E93:E95"/>
    <mergeCell ref="A89:A92"/>
    <mergeCell ref="B89:B92"/>
    <mergeCell ref="D89:D92"/>
    <mergeCell ref="C89:C92"/>
    <mergeCell ref="E89:E92"/>
    <mergeCell ref="L93:L95"/>
    <mergeCell ref="K89:K92"/>
    <mergeCell ref="M65:M76"/>
    <mergeCell ref="N65:N76"/>
    <mergeCell ref="R54:R56"/>
    <mergeCell ref="M57:M59"/>
    <mergeCell ref="N57:N59"/>
    <mergeCell ref="R57:R59"/>
    <mergeCell ref="S54:S56"/>
    <mergeCell ref="S57:S59"/>
    <mergeCell ref="P54:P56"/>
    <mergeCell ref="P57:P59"/>
    <mergeCell ref="O54:O56"/>
    <mergeCell ref="O57:O59"/>
    <mergeCell ref="F60:F63"/>
    <mergeCell ref="K60:K63"/>
    <mergeCell ref="R65:R76"/>
    <mergeCell ref="Q54:Q56"/>
    <mergeCell ref="Q57:Q59"/>
    <mergeCell ref="N60:N63"/>
    <mergeCell ref="R60:R63"/>
    <mergeCell ref="M54:M56"/>
    <mergeCell ref="N54:N56"/>
    <mergeCell ref="M77:M80"/>
    <mergeCell ref="N77:N80"/>
    <mergeCell ref="R77:R80"/>
    <mergeCell ref="M82:M88"/>
    <mergeCell ref="N82:N88"/>
    <mergeCell ref="R82:R88"/>
    <mergeCell ref="P77:P80"/>
    <mergeCell ref="P82:P88"/>
    <mergeCell ref="M89:M92"/>
    <mergeCell ref="N89:N92"/>
    <mergeCell ref="A57:A59"/>
    <mergeCell ref="B57:B59"/>
    <mergeCell ref="D57:D59"/>
    <mergeCell ref="C57:C59"/>
    <mergeCell ref="E57:E59"/>
    <mergeCell ref="A54:A56"/>
    <mergeCell ref="B54:B56"/>
    <mergeCell ref="D54:D56"/>
    <mergeCell ref="C54:C56"/>
    <mergeCell ref="E54:E56"/>
    <mergeCell ref="L57:L59"/>
    <mergeCell ref="F57:F59"/>
    <mergeCell ref="K57:K59"/>
    <mergeCell ref="A48:A53"/>
    <mergeCell ref="B48:B53"/>
    <mergeCell ref="D48:D53"/>
    <mergeCell ref="C48:C53"/>
    <mergeCell ref="E48:E53"/>
    <mergeCell ref="F54:F56"/>
    <mergeCell ref="K54:K56"/>
    <mergeCell ref="L54:L56"/>
    <mergeCell ref="O28:O32"/>
    <mergeCell ref="O33:O35"/>
    <mergeCell ref="S48:S53"/>
    <mergeCell ref="P45:P47"/>
    <mergeCell ref="P48:P53"/>
    <mergeCell ref="O45:O47"/>
    <mergeCell ref="O48:O53"/>
    <mergeCell ref="Q48:Q53"/>
    <mergeCell ref="M48:M53"/>
    <mergeCell ref="N48:N53"/>
    <mergeCell ref="R48:R53"/>
    <mergeCell ref="E45:E47"/>
    <mergeCell ref="L48:L53"/>
    <mergeCell ref="F48:F53"/>
    <mergeCell ref="K48:K53"/>
    <mergeCell ref="Q45:Q47"/>
    <mergeCell ref="K37:K44"/>
    <mergeCell ref="F42:F44"/>
    <mergeCell ref="F37:F41"/>
    <mergeCell ref="E37:E44"/>
    <mergeCell ref="L37:L44"/>
    <mergeCell ref="M37:M44"/>
    <mergeCell ref="N37:N44"/>
    <mergeCell ref="R37:R44"/>
    <mergeCell ref="L33:L35"/>
    <mergeCell ref="F33:F35"/>
    <mergeCell ref="F45:F47"/>
    <mergeCell ref="K45:K47"/>
    <mergeCell ref="L45:L47"/>
    <mergeCell ref="M45:M47"/>
    <mergeCell ref="N45:N47"/>
    <mergeCell ref="R45:R47"/>
    <mergeCell ref="S45:S47"/>
    <mergeCell ref="D37:D44"/>
    <mergeCell ref="C37:C44"/>
    <mergeCell ref="A45:A47"/>
    <mergeCell ref="A37:A44"/>
    <mergeCell ref="B37:B44"/>
    <mergeCell ref="M33:M35"/>
    <mergeCell ref="N33:N35"/>
    <mergeCell ref="R33:R35"/>
    <mergeCell ref="S33:S35"/>
    <mergeCell ref="P33:P35"/>
    <mergeCell ref="Q33:Q35"/>
    <mergeCell ref="B45:B47"/>
    <mergeCell ref="D45:D47"/>
    <mergeCell ref="C45:C47"/>
    <mergeCell ref="S37:S44"/>
    <mergeCell ref="P37:P44"/>
    <mergeCell ref="O37:O44"/>
    <mergeCell ref="K33:K35"/>
    <mergeCell ref="Q37:Q44"/>
    <mergeCell ref="A28:A32"/>
    <mergeCell ref="B28:B32"/>
    <mergeCell ref="D28:D32"/>
    <mergeCell ref="F21:F23"/>
    <mergeCell ref="K21:K27"/>
    <mergeCell ref="F24:F27"/>
    <mergeCell ref="A21:A27"/>
    <mergeCell ref="B21:B27"/>
    <mergeCell ref="D21:D27"/>
    <mergeCell ref="C21:C27"/>
    <mergeCell ref="E21:E27"/>
    <mergeCell ref="L21:L27"/>
    <mergeCell ref="M21:M27"/>
    <mergeCell ref="N21:N27"/>
    <mergeCell ref="R21:R27"/>
    <mergeCell ref="S21:S27"/>
    <mergeCell ref="P21:P27"/>
    <mergeCell ref="O21:O27"/>
    <mergeCell ref="A33:A35"/>
    <mergeCell ref="B33:B35"/>
    <mergeCell ref="D33:D35"/>
    <mergeCell ref="C33:C35"/>
    <mergeCell ref="E33:E35"/>
    <mergeCell ref="C28:C32"/>
    <mergeCell ref="B2:K2"/>
    <mergeCell ref="S10:S14"/>
    <mergeCell ref="S15:S19"/>
    <mergeCell ref="P10:P14"/>
    <mergeCell ref="P15:P19"/>
    <mergeCell ref="O10:O14"/>
    <mergeCell ref="O15:O19"/>
    <mergeCell ref="Q10:Q14"/>
    <mergeCell ref="Q15:Q19"/>
    <mergeCell ref="L5:L9"/>
    <mergeCell ref="F5:F9"/>
    <mergeCell ref="K5:K9"/>
    <mergeCell ref="L2:S2"/>
    <mergeCell ref="Q21:Q27"/>
    <mergeCell ref="F28:F32"/>
    <mergeCell ref="K28:K32"/>
    <mergeCell ref="L28:L32"/>
    <mergeCell ref="M28:M32"/>
    <mergeCell ref="N28:N32"/>
    <mergeCell ref="R28:R32"/>
    <mergeCell ref="F15:F19"/>
    <mergeCell ref="K15:K19"/>
    <mergeCell ref="F10:F14"/>
    <mergeCell ref="K10:K14"/>
    <mergeCell ref="L10:L14"/>
    <mergeCell ref="M10:M14"/>
    <mergeCell ref="N10:N14"/>
    <mergeCell ref="R10:R14"/>
    <mergeCell ref="E28:E32"/>
    <mergeCell ref="S28:S32"/>
    <mergeCell ref="P28:P32"/>
    <mergeCell ref="Q28:Q32"/>
    <mergeCell ref="A5:A9"/>
    <mergeCell ref="B5:B9"/>
    <mergeCell ref="D5:D9"/>
    <mergeCell ref="C5:C9"/>
    <mergeCell ref="E5:E9"/>
    <mergeCell ref="M5:M9"/>
    <mergeCell ref="N5:N9"/>
    <mergeCell ref="R5:R9"/>
    <mergeCell ref="S5:S9"/>
    <mergeCell ref="P5:P9"/>
    <mergeCell ref="O5:O9"/>
    <mergeCell ref="Q5:Q9"/>
    <mergeCell ref="A15:A19"/>
    <mergeCell ref="B15:B19"/>
    <mergeCell ref="D15:D19"/>
    <mergeCell ref="C15:C19"/>
    <mergeCell ref="E15:E19"/>
    <mergeCell ref="A10:A14"/>
    <mergeCell ref="B10:B14"/>
    <mergeCell ref="D10:D14"/>
    <mergeCell ref="C10:C14"/>
    <mergeCell ref="E10:E14"/>
    <mergeCell ref="L15:L19"/>
    <mergeCell ref="M15:M19"/>
    <mergeCell ref="N15:N19"/>
    <mergeCell ref="R15:R19"/>
    <mergeCell ref="Q77:Q80"/>
    <mergeCell ref="Q82:Q88"/>
    <mergeCell ref="Q89:Q92"/>
    <mergeCell ref="Q93:Q95"/>
    <mergeCell ref="M270:M271"/>
    <mergeCell ref="N270:N271"/>
    <mergeCell ref="R270:R271"/>
    <mergeCell ref="M149:M150"/>
    <mergeCell ref="O105:O108"/>
    <mergeCell ref="O109:O112"/>
    <mergeCell ref="O114:O123"/>
    <mergeCell ref="O125:O128"/>
    <mergeCell ref="O129:O131"/>
    <mergeCell ref="O132:O135"/>
    <mergeCell ref="O136:O142"/>
    <mergeCell ref="O143:O145"/>
    <mergeCell ref="R89:R92"/>
    <mergeCell ref="M93:M95"/>
    <mergeCell ref="N93:N95"/>
    <mergeCell ref="R93:R95"/>
    <mergeCell ref="P89:P92"/>
    <mergeCell ref="R114:R123"/>
    <mergeCell ref="M125:M128"/>
    <mergeCell ref="N125:N128"/>
    <mergeCell ref="Q114:Q123"/>
    <mergeCell ref="N129:N131"/>
    <mergeCell ref="R129:R131"/>
    <mergeCell ref="P114:P123"/>
    <mergeCell ref="O151:O152"/>
    <mergeCell ref="O154:O156"/>
    <mergeCell ref="N149:N150"/>
    <mergeCell ref="R149:R150"/>
    <mergeCell ref="M274:M277"/>
    <mergeCell ref="N274:N277"/>
    <mergeCell ref="R274:R277"/>
    <mergeCell ref="P270:P271"/>
    <mergeCell ref="P272:P273"/>
    <mergeCell ref="P274:P277"/>
    <mergeCell ref="O274:O277"/>
    <mergeCell ref="Q274:Q277"/>
    <mergeCell ref="M242:M248"/>
    <mergeCell ref="N242:N248"/>
    <mergeCell ref="R242:R248"/>
    <mergeCell ref="M249:M255"/>
    <mergeCell ref="N249:N255"/>
    <mergeCell ref="R249:R255"/>
    <mergeCell ref="M256:M260"/>
    <mergeCell ref="N256:N260"/>
    <mergeCell ref="R256:R260"/>
    <mergeCell ref="M268:M269"/>
    <mergeCell ref="N268:N269"/>
    <mergeCell ref="R268:R269"/>
    <mergeCell ref="P242:P248"/>
    <mergeCell ref="Q242:Q248"/>
    <mergeCell ref="Q249:Q255"/>
    <mergeCell ref="Q256:Q260"/>
    <mergeCell ref="Q262:Q267"/>
    <mergeCell ref="Q268:Q269"/>
    <mergeCell ref="Q270:Q271"/>
    <mergeCell ref="Q272:Q273"/>
    <mergeCell ref="P249:P255"/>
    <mergeCell ref="M262:M267"/>
    <mergeCell ref="N262:N267"/>
    <mergeCell ref="R262:R267"/>
    <mergeCell ref="W5:W9"/>
    <mergeCell ref="U33:U35"/>
    <mergeCell ref="V33:V35"/>
    <mergeCell ref="W33:W35"/>
    <mergeCell ref="T45:T47"/>
    <mergeCell ref="U45:U47"/>
    <mergeCell ref="V45:V47"/>
    <mergeCell ref="W45:W47"/>
    <mergeCell ref="T57:T59"/>
    <mergeCell ref="U57:U59"/>
    <mergeCell ref="V57:V59"/>
    <mergeCell ref="W57:W59"/>
    <mergeCell ref="T77:T80"/>
    <mergeCell ref="U77:U80"/>
    <mergeCell ref="V77:V80"/>
    <mergeCell ref="W77:W80"/>
    <mergeCell ref="S109:S112"/>
    <mergeCell ref="S60:S63"/>
    <mergeCell ref="S65:S76"/>
    <mergeCell ref="S77:S80"/>
    <mergeCell ref="S82:S88"/>
    <mergeCell ref="S89:S92"/>
    <mergeCell ref="S93:S95"/>
    <mergeCell ref="S96:S97"/>
    <mergeCell ref="S98:S103"/>
    <mergeCell ref="S105:S108"/>
    <mergeCell ref="T28:T32"/>
    <mergeCell ref="U28:U32"/>
    <mergeCell ref="V28:V32"/>
    <mergeCell ref="W28:W32"/>
    <mergeCell ref="X28:X32"/>
    <mergeCell ref="Y28:Y32"/>
    <mergeCell ref="Z28:Z32"/>
    <mergeCell ref="AA28:AA32"/>
    <mergeCell ref="Q171:Q172"/>
    <mergeCell ref="P169:P170"/>
    <mergeCell ref="Q169:Q170"/>
    <mergeCell ref="P190:P207"/>
    <mergeCell ref="O190:O207"/>
    <mergeCell ref="Q190:Q207"/>
    <mergeCell ref="P180:P185"/>
    <mergeCell ref="O180:O185"/>
    <mergeCell ref="Q180:Q185"/>
    <mergeCell ref="P171:P172"/>
    <mergeCell ref="O159:O164"/>
    <mergeCell ref="O165:O168"/>
    <mergeCell ref="Q125:Q128"/>
    <mergeCell ref="P125:P128"/>
    <mergeCell ref="S114:S123"/>
    <mergeCell ref="S125:S128"/>
    <mergeCell ref="S129:S131"/>
    <mergeCell ref="S132:S135"/>
    <mergeCell ref="S136:S142"/>
    <mergeCell ref="S143:S145"/>
    <mergeCell ref="S146:S148"/>
    <mergeCell ref="S149:S150"/>
    <mergeCell ref="Q60:Q63"/>
    <mergeCell ref="Q65:Q76"/>
    <mergeCell ref="T2:AA2"/>
    <mergeCell ref="U15:U19"/>
    <mergeCell ref="V15:V19"/>
    <mergeCell ref="W15:W19"/>
    <mergeCell ref="X15:X19"/>
    <mergeCell ref="Y15:Y19"/>
    <mergeCell ref="Z15:Z19"/>
    <mergeCell ref="AA15:AA19"/>
    <mergeCell ref="T21:T27"/>
    <mergeCell ref="U21:U27"/>
    <mergeCell ref="V21:V27"/>
    <mergeCell ref="W21:W27"/>
    <mergeCell ref="X21:X27"/>
    <mergeCell ref="Y21:Y27"/>
    <mergeCell ref="Z21:Z27"/>
    <mergeCell ref="AA21:AA27"/>
    <mergeCell ref="T15:T19"/>
    <mergeCell ref="T5:T9"/>
    <mergeCell ref="X5:X9"/>
    <mergeCell ref="Y5:Y9"/>
    <mergeCell ref="Z5:Z9"/>
    <mergeCell ref="AA5:AA9"/>
    <mergeCell ref="T10:T14"/>
    <mergeCell ref="U10:U14"/>
    <mergeCell ref="V10:V14"/>
    <mergeCell ref="W10:W14"/>
    <mergeCell ref="X10:X14"/>
    <mergeCell ref="Y10:Y14"/>
    <mergeCell ref="Z10:Z14"/>
    <mergeCell ref="AA10:AA14"/>
    <mergeCell ref="U5:U9"/>
    <mergeCell ref="V5:V9"/>
    <mergeCell ref="X45:X47"/>
    <mergeCell ref="Y45:Y47"/>
    <mergeCell ref="Z45:Z47"/>
    <mergeCell ref="AA45:AA47"/>
    <mergeCell ref="T33:T35"/>
    <mergeCell ref="Z33:Z35"/>
    <mergeCell ref="AA33:AA35"/>
    <mergeCell ref="Y33:Y35"/>
    <mergeCell ref="U48:U53"/>
    <mergeCell ref="V48:V53"/>
    <mergeCell ref="W48:W53"/>
    <mergeCell ref="X48:X53"/>
    <mergeCell ref="Y48:Y53"/>
    <mergeCell ref="Z48:Z53"/>
    <mergeCell ref="AA48:AA53"/>
    <mergeCell ref="T54:T56"/>
    <mergeCell ref="U54:U56"/>
    <mergeCell ref="V54:V56"/>
    <mergeCell ref="W54:W56"/>
    <mergeCell ref="X54:X56"/>
    <mergeCell ref="Y54:Y56"/>
    <mergeCell ref="Z54:Z56"/>
    <mergeCell ref="AA54:AA56"/>
    <mergeCell ref="X33:X35"/>
    <mergeCell ref="T37:T44"/>
    <mergeCell ref="U37:U44"/>
    <mergeCell ref="V37:V44"/>
    <mergeCell ref="W37:W44"/>
    <mergeCell ref="X37:X44"/>
    <mergeCell ref="Y37:Y44"/>
    <mergeCell ref="Z37:Z44"/>
    <mergeCell ref="AA37:AA44"/>
    <mergeCell ref="X57:X59"/>
    <mergeCell ref="Y57:Y59"/>
    <mergeCell ref="Z57:Z59"/>
    <mergeCell ref="AA57:AA59"/>
    <mergeCell ref="T48:T53"/>
    <mergeCell ref="U60:U63"/>
    <mergeCell ref="V60:V63"/>
    <mergeCell ref="W60:W63"/>
    <mergeCell ref="X60:X63"/>
    <mergeCell ref="Y60:Y63"/>
    <mergeCell ref="Z60:Z63"/>
    <mergeCell ref="AA60:AA63"/>
    <mergeCell ref="T65:T76"/>
    <mergeCell ref="U65:U76"/>
    <mergeCell ref="V65:V76"/>
    <mergeCell ref="W65:W76"/>
    <mergeCell ref="X65:X76"/>
    <mergeCell ref="Y65:Y76"/>
    <mergeCell ref="Z65:Z76"/>
    <mergeCell ref="AA65:AA76"/>
    <mergeCell ref="X77:X80"/>
    <mergeCell ref="Y77:Y80"/>
    <mergeCell ref="Z77:Z80"/>
    <mergeCell ref="AA77:AA80"/>
    <mergeCell ref="T60:T63"/>
    <mergeCell ref="U82:U88"/>
    <mergeCell ref="V82:V88"/>
    <mergeCell ref="W82:W88"/>
    <mergeCell ref="X82:X88"/>
    <mergeCell ref="Y82:Y88"/>
    <mergeCell ref="Z82:Z88"/>
    <mergeCell ref="AA82:AA88"/>
    <mergeCell ref="T89:T92"/>
    <mergeCell ref="U89:U92"/>
    <mergeCell ref="V89:V92"/>
    <mergeCell ref="W89:W92"/>
    <mergeCell ref="X89:X92"/>
    <mergeCell ref="Y89:Y92"/>
    <mergeCell ref="Z89:Z92"/>
    <mergeCell ref="AA89:AA92"/>
    <mergeCell ref="T93:T95"/>
    <mergeCell ref="U93:U95"/>
    <mergeCell ref="V93:V95"/>
    <mergeCell ref="W93:W95"/>
    <mergeCell ref="X93:X95"/>
    <mergeCell ref="Y93:Y95"/>
    <mergeCell ref="Z93:Z95"/>
    <mergeCell ref="AA93:AA95"/>
    <mergeCell ref="T82:T88"/>
    <mergeCell ref="U96:U97"/>
    <mergeCell ref="V96:V97"/>
    <mergeCell ref="W96:W97"/>
    <mergeCell ref="X96:X97"/>
    <mergeCell ref="Y96:Y97"/>
    <mergeCell ref="Z96:Z97"/>
    <mergeCell ref="AA96:AA97"/>
    <mergeCell ref="T98:T103"/>
    <mergeCell ref="U98:U103"/>
    <mergeCell ref="V98:V103"/>
    <mergeCell ref="W98:W103"/>
    <mergeCell ref="X98:X103"/>
    <mergeCell ref="Y98:Y103"/>
    <mergeCell ref="Z98:Z103"/>
    <mergeCell ref="AA98:AA103"/>
    <mergeCell ref="T105:T108"/>
    <mergeCell ref="U105:U108"/>
    <mergeCell ref="V105:V108"/>
    <mergeCell ref="W105:W108"/>
    <mergeCell ref="X105:X108"/>
    <mergeCell ref="Y105:Y108"/>
    <mergeCell ref="Z105:Z108"/>
    <mergeCell ref="AA105:AA108"/>
    <mergeCell ref="T96:T97"/>
    <mergeCell ref="U109:U112"/>
    <mergeCell ref="V109:V112"/>
    <mergeCell ref="W109:W112"/>
    <mergeCell ref="X109:X112"/>
    <mergeCell ref="Y109:Y112"/>
    <mergeCell ref="Z109:Z112"/>
    <mergeCell ref="AA109:AA112"/>
    <mergeCell ref="T114:T123"/>
    <mergeCell ref="U114:U123"/>
    <mergeCell ref="V114:V123"/>
    <mergeCell ref="W114:W123"/>
    <mergeCell ref="X114:X123"/>
    <mergeCell ref="Y114:Y123"/>
    <mergeCell ref="Z114:Z123"/>
    <mergeCell ref="AA114:AA123"/>
    <mergeCell ref="T125:T128"/>
    <mergeCell ref="U125:U128"/>
    <mergeCell ref="V125:V128"/>
    <mergeCell ref="W125:W128"/>
    <mergeCell ref="X125:X128"/>
    <mergeCell ref="Y125:Y128"/>
    <mergeCell ref="Z125:Z128"/>
    <mergeCell ref="AA125:AA128"/>
    <mergeCell ref="T109:T112"/>
    <mergeCell ref="U129:U131"/>
    <mergeCell ref="V129:V131"/>
    <mergeCell ref="W129:W131"/>
    <mergeCell ref="X129:X131"/>
    <mergeCell ref="Y129:Y131"/>
    <mergeCell ref="Z129:Z131"/>
    <mergeCell ref="AA129:AA131"/>
    <mergeCell ref="T132:T135"/>
    <mergeCell ref="U132:U135"/>
    <mergeCell ref="V132:V135"/>
    <mergeCell ref="W132:W135"/>
    <mergeCell ref="X132:X135"/>
    <mergeCell ref="Y132:Y135"/>
    <mergeCell ref="Z132:Z135"/>
    <mergeCell ref="AA132:AA135"/>
    <mergeCell ref="T136:T142"/>
    <mergeCell ref="U136:U142"/>
    <mergeCell ref="V136:V142"/>
    <mergeCell ref="W136:W142"/>
    <mergeCell ref="X136:X142"/>
    <mergeCell ref="Y136:Y142"/>
    <mergeCell ref="Z136:Z142"/>
    <mergeCell ref="AA136:AA142"/>
    <mergeCell ref="T129:T131"/>
    <mergeCell ref="U143:U145"/>
    <mergeCell ref="V143:V145"/>
    <mergeCell ref="W143:W145"/>
    <mergeCell ref="X143:X145"/>
    <mergeCell ref="Y143:Y145"/>
    <mergeCell ref="Z143:Z145"/>
    <mergeCell ref="AA143:AA145"/>
    <mergeCell ref="T146:T148"/>
    <mergeCell ref="U146:U148"/>
    <mergeCell ref="V146:V148"/>
    <mergeCell ref="W146:W148"/>
    <mergeCell ref="X146:X148"/>
    <mergeCell ref="Y146:Y148"/>
    <mergeCell ref="Z146:Z148"/>
    <mergeCell ref="AA146:AA148"/>
    <mergeCell ref="T149:T150"/>
    <mergeCell ref="U149:U150"/>
    <mergeCell ref="V149:V150"/>
    <mergeCell ref="W149:W150"/>
    <mergeCell ref="X149:X150"/>
    <mergeCell ref="Y149:Y150"/>
    <mergeCell ref="Z149:Z150"/>
    <mergeCell ref="AA149:AA150"/>
    <mergeCell ref="T143:T145"/>
    <mergeCell ref="U151:U152"/>
    <mergeCell ref="V151:V152"/>
    <mergeCell ref="W151:W152"/>
    <mergeCell ref="X151:X152"/>
    <mergeCell ref="Y151:Y152"/>
    <mergeCell ref="Z151:Z152"/>
    <mergeCell ref="AA151:AA152"/>
    <mergeCell ref="T154:T156"/>
    <mergeCell ref="U154:U156"/>
    <mergeCell ref="V154:V156"/>
    <mergeCell ref="W154:W156"/>
    <mergeCell ref="X154:X156"/>
    <mergeCell ref="Y154:Y156"/>
    <mergeCell ref="Z154:Z156"/>
    <mergeCell ref="AA154:AA156"/>
    <mergeCell ref="T157:T158"/>
    <mergeCell ref="U157:U158"/>
    <mergeCell ref="V157:V158"/>
    <mergeCell ref="W157:W158"/>
    <mergeCell ref="X157:X158"/>
    <mergeCell ref="Y157:Y158"/>
    <mergeCell ref="Z157:Z158"/>
    <mergeCell ref="AA157:AA158"/>
    <mergeCell ref="T151:T152"/>
    <mergeCell ref="U159:U164"/>
    <mergeCell ref="V159:V164"/>
    <mergeCell ref="W159:W164"/>
    <mergeCell ref="X159:X164"/>
    <mergeCell ref="Y159:Y164"/>
    <mergeCell ref="Z159:Z164"/>
    <mergeCell ref="AA159:AA164"/>
    <mergeCell ref="T165:T168"/>
    <mergeCell ref="U165:U168"/>
    <mergeCell ref="V165:V168"/>
    <mergeCell ref="W165:W168"/>
    <mergeCell ref="X165:X168"/>
    <mergeCell ref="Y165:Y168"/>
    <mergeCell ref="Z165:Z168"/>
    <mergeCell ref="AA165:AA168"/>
    <mergeCell ref="U169:U170"/>
    <mergeCell ref="V169:V170"/>
    <mergeCell ref="W169:W170"/>
    <mergeCell ref="X169:X170"/>
    <mergeCell ref="Y169:Y170"/>
    <mergeCell ref="Z169:Z170"/>
    <mergeCell ref="AA169:AA170"/>
    <mergeCell ref="T159:T164"/>
    <mergeCell ref="T169:T170"/>
    <mergeCell ref="U171:U172"/>
    <mergeCell ref="V171:V172"/>
    <mergeCell ref="W171:W172"/>
    <mergeCell ref="X171:X172"/>
    <mergeCell ref="Y171:Y172"/>
    <mergeCell ref="Z171:Z172"/>
    <mergeCell ref="AA171:AA172"/>
    <mergeCell ref="T174:T179"/>
    <mergeCell ref="U174:U179"/>
    <mergeCell ref="V174:V179"/>
    <mergeCell ref="W174:W179"/>
    <mergeCell ref="X174:X179"/>
    <mergeCell ref="Y174:Y179"/>
    <mergeCell ref="Z174:Z179"/>
    <mergeCell ref="AA174:AA179"/>
    <mergeCell ref="T180:T185"/>
    <mergeCell ref="U180:U185"/>
    <mergeCell ref="V180:V185"/>
    <mergeCell ref="W180:W185"/>
    <mergeCell ref="X180:X185"/>
    <mergeCell ref="Y180:Y185"/>
    <mergeCell ref="Z180:Z185"/>
    <mergeCell ref="AA180:AA185"/>
    <mergeCell ref="T171:T172"/>
    <mergeCell ref="T190:T207"/>
    <mergeCell ref="U190:U207"/>
    <mergeCell ref="V190:V207"/>
    <mergeCell ref="W190:W207"/>
    <mergeCell ref="X190:X207"/>
    <mergeCell ref="Y190:Y207"/>
    <mergeCell ref="Z190:Z207"/>
    <mergeCell ref="AA190:AA207"/>
    <mergeCell ref="T186:T188"/>
    <mergeCell ref="U186:U188"/>
    <mergeCell ref="V186:V188"/>
    <mergeCell ref="W186:W188"/>
    <mergeCell ref="X186:X188"/>
    <mergeCell ref="Y186:Y188"/>
    <mergeCell ref="Z186:Z188"/>
    <mergeCell ref="AA186:AA188"/>
    <mergeCell ref="T208:T212"/>
    <mergeCell ref="U208:U212"/>
    <mergeCell ref="V208:V212"/>
    <mergeCell ref="W208:W212"/>
    <mergeCell ref="X208:X212"/>
    <mergeCell ref="Y208:Y212"/>
    <mergeCell ref="Z208:Z212"/>
    <mergeCell ref="AA208:AA212"/>
    <mergeCell ref="T242:T248"/>
    <mergeCell ref="U242:U248"/>
    <mergeCell ref="V242:V248"/>
    <mergeCell ref="W242:W248"/>
    <mergeCell ref="X242:X248"/>
    <mergeCell ref="Y242:Y248"/>
    <mergeCell ref="Z242:Z248"/>
    <mergeCell ref="AA242:AA248"/>
    <mergeCell ref="T213:T215"/>
    <mergeCell ref="U213:U215"/>
    <mergeCell ref="V213:V215"/>
    <mergeCell ref="W213:W215"/>
    <mergeCell ref="X213:X215"/>
    <mergeCell ref="Y213:Y215"/>
    <mergeCell ref="Z213:Z215"/>
    <mergeCell ref="AA213:AA215"/>
    <mergeCell ref="T217:T223"/>
    <mergeCell ref="U217:U223"/>
    <mergeCell ref="V217:V223"/>
    <mergeCell ref="W217:W223"/>
    <mergeCell ref="X217:X223"/>
    <mergeCell ref="Y217:Y223"/>
    <mergeCell ref="Z217:Z223"/>
    <mergeCell ref="AA217:AA223"/>
    <mergeCell ref="T274:T277"/>
    <mergeCell ref="U274:U277"/>
    <mergeCell ref="V274:V277"/>
    <mergeCell ref="W274:W277"/>
    <mergeCell ref="X274:X277"/>
    <mergeCell ref="Y274:Y277"/>
    <mergeCell ref="Z274:Z277"/>
    <mergeCell ref="AA274:AA277"/>
    <mergeCell ref="T231:T235"/>
    <mergeCell ref="U231:U235"/>
    <mergeCell ref="V231:V235"/>
    <mergeCell ref="W231:W235"/>
    <mergeCell ref="X231:X235"/>
    <mergeCell ref="Y231:Y235"/>
    <mergeCell ref="Z231:Z235"/>
    <mergeCell ref="AA231:AA235"/>
    <mergeCell ref="T236:T241"/>
    <mergeCell ref="U236:U241"/>
    <mergeCell ref="V236:V241"/>
    <mergeCell ref="W236:W241"/>
    <mergeCell ref="X236:X241"/>
    <mergeCell ref="Y236:Y241"/>
    <mergeCell ref="Z236:Z241"/>
    <mergeCell ref="AA236:AA241"/>
    <mergeCell ref="X262:X267"/>
    <mergeCell ref="Y262:Y267"/>
    <mergeCell ref="Z262:Z267"/>
    <mergeCell ref="AA262:AA267"/>
    <mergeCell ref="T268:T269"/>
    <mergeCell ref="U268:U269"/>
    <mergeCell ref="V268:V269"/>
    <mergeCell ref="W268:W269"/>
    <mergeCell ref="X268:X269"/>
    <mergeCell ref="Y268:Y269"/>
    <mergeCell ref="Z268:Z269"/>
    <mergeCell ref="AA268:AA269"/>
    <mergeCell ref="T225:T230"/>
    <mergeCell ref="U225:U230"/>
    <mergeCell ref="V225:V230"/>
    <mergeCell ref="W225:W230"/>
    <mergeCell ref="X225:X230"/>
    <mergeCell ref="Y225:Y230"/>
    <mergeCell ref="Z225:Z230"/>
    <mergeCell ref="AA225:AA230"/>
    <mergeCell ref="X256:X260"/>
    <mergeCell ref="Y256:Y260"/>
    <mergeCell ref="Z256:Z260"/>
    <mergeCell ref="AA256:AA260"/>
    <mergeCell ref="T299:T300"/>
    <mergeCell ref="U299:U300"/>
    <mergeCell ref="V299:V300"/>
    <mergeCell ref="W299:W300"/>
    <mergeCell ref="X299:X300"/>
    <mergeCell ref="Y299:Y300"/>
    <mergeCell ref="Z299:Z300"/>
    <mergeCell ref="AA299:AA300"/>
    <mergeCell ref="T282:T284"/>
    <mergeCell ref="U282:U284"/>
    <mergeCell ref="V282:V284"/>
    <mergeCell ref="W282:W284"/>
    <mergeCell ref="X282:X284"/>
    <mergeCell ref="Y282:Y284"/>
    <mergeCell ref="Z282:Z284"/>
    <mergeCell ref="AA282:AA284"/>
    <mergeCell ref="T270:T271"/>
    <mergeCell ref="U270:U271"/>
    <mergeCell ref="V270:V271"/>
    <mergeCell ref="W270:W271"/>
    <mergeCell ref="X270:X271"/>
    <mergeCell ref="Y270:Y271"/>
    <mergeCell ref="Z270:Z271"/>
    <mergeCell ref="AA270:AA271"/>
    <mergeCell ref="T262:T267"/>
    <mergeCell ref="U262:U267"/>
    <mergeCell ref="V262:V267"/>
    <mergeCell ref="W262:W267"/>
    <mergeCell ref="T285:T287"/>
    <mergeCell ref="U285:U287"/>
    <mergeCell ref="V285:V287"/>
    <mergeCell ref="W285:W287"/>
    <mergeCell ref="X285:X287"/>
    <mergeCell ref="Y285:Y287"/>
    <mergeCell ref="Z285:Z287"/>
    <mergeCell ref="AA285:AA287"/>
    <mergeCell ref="T288:T290"/>
    <mergeCell ref="U288:U290"/>
    <mergeCell ref="V288:V290"/>
    <mergeCell ref="W288:W290"/>
    <mergeCell ref="X288:X290"/>
    <mergeCell ref="Y288:Y290"/>
    <mergeCell ref="Z288:Z290"/>
    <mergeCell ref="AA288:AA290"/>
    <mergeCell ref="T301:T306"/>
    <mergeCell ref="U301:U306"/>
    <mergeCell ref="V301:V306"/>
    <mergeCell ref="W301:W306"/>
    <mergeCell ref="X301:X306"/>
    <mergeCell ref="Y301:Y306"/>
    <mergeCell ref="Z301:Z306"/>
    <mergeCell ref="AA301:AA306"/>
    <mergeCell ref="T307:T308"/>
    <mergeCell ref="U307:U308"/>
    <mergeCell ref="V307:V308"/>
    <mergeCell ref="W307:W308"/>
    <mergeCell ref="X307:X308"/>
    <mergeCell ref="Y307:Y308"/>
    <mergeCell ref="Z307:Z308"/>
    <mergeCell ref="AA307:AA308"/>
    <mergeCell ref="T309:T311"/>
    <mergeCell ref="U309:U311"/>
    <mergeCell ref="V309:V311"/>
    <mergeCell ref="W309:W311"/>
    <mergeCell ref="X309:X311"/>
    <mergeCell ref="Y309:Y311"/>
    <mergeCell ref="Z309:Z311"/>
    <mergeCell ref="AA309:AA311"/>
    <mergeCell ref="T313:T314"/>
    <mergeCell ref="U313:U314"/>
    <mergeCell ref="V313:V314"/>
    <mergeCell ref="W313:W314"/>
    <mergeCell ref="X313:X314"/>
    <mergeCell ref="Y313:Y314"/>
    <mergeCell ref="Z313:Z314"/>
    <mergeCell ref="AA313:AA314"/>
    <mergeCell ref="T315:T316"/>
    <mergeCell ref="U315:U316"/>
    <mergeCell ref="V315:V316"/>
    <mergeCell ref="W315:W316"/>
    <mergeCell ref="X315:X316"/>
    <mergeCell ref="Y315:Y316"/>
    <mergeCell ref="Z315:Z316"/>
    <mergeCell ref="AA315:AA316"/>
    <mergeCell ref="T317:T319"/>
    <mergeCell ref="U317:U319"/>
    <mergeCell ref="V317:V319"/>
    <mergeCell ref="W317:W319"/>
    <mergeCell ref="X317:X319"/>
    <mergeCell ref="Y317:Y319"/>
    <mergeCell ref="Z317:Z319"/>
    <mergeCell ref="AA317:AA319"/>
    <mergeCell ref="T320:T321"/>
    <mergeCell ref="U320:U321"/>
    <mergeCell ref="V320:V321"/>
    <mergeCell ref="W320:W321"/>
    <mergeCell ref="X320:X321"/>
    <mergeCell ref="Y320:Y321"/>
    <mergeCell ref="Z320:Z321"/>
    <mergeCell ref="AA320:AA321"/>
    <mergeCell ref="T322:T323"/>
    <mergeCell ref="U322:U323"/>
    <mergeCell ref="V322:V323"/>
    <mergeCell ref="W322:W323"/>
    <mergeCell ref="X322:X323"/>
    <mergeCell ref="Y322:Y323"/>
    <mergeCell ref="Z322:Z323"/>
    <mergeCell ref="AA322:AA323"/>
    <mergeCell ref="T324:T326"/>
    <mergeCell ref="U324:U326"/>
    <mergeCell ref="V324:V326"/>
    <mergeCell ref="W324:W326"/>
    <mergeCell ref="X324:X326"/>
    <mergeCell ref="Y324:Y326"/>
    <mergeCell ref="Z324:Z326"/>
    <mergeCell ref="AA324:AA326"/>
    <mergeCell ref="T291:T293"/>
    <mergeCell ref="U291:U293"/>
    <mergeCell ref="V291:V293"/>
    <mergeCell ref="W291:W293"/>
    <mergeCell ref="X291:X293"/>
    <mergeCell ref="Y291:Y293"/>
    <mergeCell ref="Z291:Z293"/>
    <mergeCell ref="AA291:AA293"/>
    <mergeCell ref="T295:T298"/>
    <mergeCell ref="U295:U298"/>
    <mergeCell ref="V295:V298"/>
    <mergeCell ref="W295:W298"/>
    <mergeCell ref="X295:X298"/>
    <mergeCell ref="Y295:Y298"/>
    <mergeCell ref="Z295:Z298"/>
    <mergeCell ref="AA295:AA298"/>
    <mergeCell ref="T272:T273"/>
    <mergeCell ref="U272:U273"/>
    <mergeCell ref="V272:V273"/>
    <mergeCell ref="W272:W273"/>
    <mergeCell ref="X272:X273"/>
    <mergeCell ref="Y272:Y273"/>
    <mergeCell ref="Z272:Z273"/>
    <mergeCell ref="AA272:AA273"/>
    <mergeCell ref="T278:T280"/>
    <mergeCell ref="U278:U280"/>
    <mergeCell ref="V278:V280"/>
    <mergeCell ref="W278:W280"/>
    <mergeCell ref="X278:X280"/>
    <mergeCell ref="Y278:Y280"/>
    <mergeCell ref="Z278:Z280"/>
    <mergeCell ref="AA278:AA280"/>
    <mergeCell ref="R186:R188"/>
    <mergeCell ref="S186:S188"/>
    <mergeCell ref="S231:S235"/>
    <mergeCell ref="S236:S241"/>
    <mergeCell ref="T249:T255"/>
    <mergeCell ref="U249:U255"/>
    <mergeCell ref="V249:V255"/>
    <mergeCell ref="W249:W255"/>
    <mergeCell ref="X249:X255"/>
    <mergeCell ref="Y249:Y255"/>
    <mergeCell ref="Z249:Z255"/>
    <mergeCell ref="AA249:AA255"/>
    <mergeCell ref="T256:T260"/>
    <mergeCell ref="U256:U260"/>
    <mergeCell ref="V256:V260"/>
    <mergeCell ref="W256:W260"/>
    <mergeCell ref="B186:B188"/>
    <mergeCell ref="C186:C188"/>
    <mergeCell ref="L186:L188"/>
    <mergeCell ref="M186:M188"/>
    <mergeCell ref="N186:N188"/>
    <mergeCell ref="O186:O188"/>
    <mergeCell ref="P186:P188"/>
    <mergeCell ref="Q186:Q188"/>
    <mergeCell ref="O268:O269"/>
    <mergeCell ref="M272:M273"/>
    <mergeCell ref="N272:N273"/>
    <mergeCell ref="R272:R273"/>
    <mergeCell ref="M236:M241"/>
    <mergeCell ref="N236:N241"/>
    <mergeCell ref="R236:R241"/>
    <mergeCell ref="P231:P235"/>
    <mergeCell ref="P236:P241"/>
    <mergeCell ref="F262:F267"/>
    <mergeCell ref="K262:K267"/>
    <mergeCell ref="L256:L260"/>
    <mergeCell ref="K242:K248"/>
    <mergeCell ref="C268:C269"/>
    <mergeCell ref="E268:E269"/>
    <mergeCell ref="L268:L269"/>
    <mergeCell ref="F268:F269"/>
    <mergeCell ref="K268:K269"/>
    <mergeCell ref="F256:F260"/>
    <mergeCell ref="K256:K260"/>
    <mergeCell ref="O282:O284"/>
    <mergeCell ref="O285:O287"/>
    <mergeCell ref="Q282:Q284"/>
    <mergeCell ref="P268:P269"/>
    <mergeCell ref="N180:N185"/>
    <mergeCell ref="R169:R170"/>
    <mergeCell ref="S225:S230"/>
    <mergeCell ref="S262:S267"/>
    <mergeCell ref="S268:S269"/>
    <mergeCell ref="R180:R185"/>
    <mergeCell ref="S180:S185"/>
    <mergeCell ref="S208:S212"/>
    <mergeCell ref="S309:S311"/>
    <mergeCell ref="S313:S314"/>
    <mergeCell ref="S301:S306"/>
    <mergeCell ref="S307:S308"/>
    <mergeCell ref="S299:S300"/>
    <mergeCell ref="Q285:Q287"/>
    <mergeCell ref="S270:S271"/>
    <mergeCell ref="S272:S273"/>
    <mergeCell ref="S274:S277"/>
    <mergeCell ref="S278:S280"/>
    <mergeCell ref="S282:S284"/>
    <mergeCell ref="S285:S287"/>
    <mergeCell ref="O270:O271"/>
    <mergeCell ref="O272:O273"/>
    <mergeCell ref="P256:P260"/>
    <mergeCell ref="N190:N207"/>
    <mergeCell ref="R190:R207"/>
    <mergeCell ref="S190:S207"/>
    <mergeCell ref="N231:N235"/>
    <mergeCell ref="R231:R235"/>
  </mergeCells>
  <conditionalFormatting sqref="Q190:Q215 Y190:Y215 Q5:Q19 Y5:Y35 AG5:AG35 Q21:Q35 Q37:Q63 Q65:Q80 Q82:Q103 Q105:Q112 Q114:Q123 Q125:Q152 Q154:Q172 Q174:Q185 Q217:Q223 Q225:Q260 Q262:Q280 Q282:Q293 Q295:Q311 Q313:Q326 Y37:Y63 Y65:Y80 Y82:Y103 Y105:Y112 Y114:Y123 Y125:Y152 Y154:Y172 Y174:Y185 Y217:Y223 Y225:Y260 Y262:Y280 Y282:Y293 Y295:Y311 Y313:Y326 AG37:AG63 AG65:AG80 AG82:AG103 AG105:AG112 AG114:AG123 AG125:AG152 AG154:AG172 AG174:AG185">
    <cfRule type="containsText" dxfId="189" priority="272" operator="containsText" text="Subestimado">
      <formula>NOT(ISERROR(SEARCH("Subestimado",Q5)))</formula>
    </cfRule>
    <cfRule type="containsText" dxfId="188" priority="273" operator="containsText" text="CRÍTICO">
      <formula>NOT(ISERROR(SEARCH("CRÍTICO",Q5)))</formula>
    </cfRule>
    <cfRule type="containsText" dxfId="187" priority="274" operator="containsText" text="RIESGO">
      <formula>NOT(ISERROR(SEARCH("RIESGO",Q5)))</formula>
    </cfRule>
    <cfRule type="containsText" dxfId="186" priority="275" operator="containsText" text="ADECUADO">
      <formula>NOT(ISERROR(SEARCH("ADECUADO",Q5)))</formula>
    </cfRule>
    <cfRule type="containsText" dxfId="185" priority="276" operator="containsText" text="ÓPTIMO">
      <formula>NOT(ISERROR(SEARCH("ÓPTIMO",Q5)))</formula>
    </cfRule>
  </conditionalFormatting>
  <conditionalFormatting sqref="AG190:AG215 AG217:AG223 AG225:AG260 AG262:AG280 AG282:AG293 AG295:AG311 AG313:AG326">
    <cfRule type="containsText" dxfId="184" priority="262" operator="containsText" text="Subestimado">
      <formula>NOT(ISERROR(SEARCH("Subestimado",AG190)))</formula>
    </cfRule>
    <cfRule type="containsText" dxfId="183" priority="263" operator="containsText" text="CRÍTICO">
      <formula>NOT(ISERROR(SEARCH("CRÍTICO",AG190)))</formula>
    </cfRule>
    <cfRule type="containsText" dxfId="182" priority="264" operator="containsText" text="RIESGO">
      <formula>NOT(ISERROR(SEARCH("RIESGO",AG190)))</formula>
    </cfRule>
    <cfRule type="containsText" dxfId="181" priority="265" operator="containsText" text="ADECUADO">
      <formula>NOT(ISERROR(SEARCH("ADECUADO",AG190)))</formula>
    </cfRule>
    <cfRule type="containsText" dxfId="180" priority="266" operator="containsText" text="ÓPTIMO">
      <formula>NOT(ISERROR(SEARCH("ÓPTIMO",AG190)))</formula>
    </cfRule>
  </conditionalFormatting>
  <conditionalFormatting sqref="U186:Z188">
    <cfRule type="containsText" dxfId="179" priority="187" operator="containsText" text="Subestimado">
      <formula>NOT(ISERROR(SEARCH("Subestimado",U186)))</formula>
    </cfRule>
    <cfRule type="containsText" dxfId="178" priority="188" operator="containsText" text="CRÍTICO">
      <formula>NOT(ISERROR(SEARCH("CRÍTICO",U186)))</formula>
    </cfRule>
    <cfRule type="containsText" dxfId="177" priority="189" operator="containsText" text="RIESGO">
      <formula>NOT(ISERROR(SEARCH("RIESGO",U186)))</formula>
    </cfRule>
    <cfRule type="containsText" dxfId="176" priority="190" operator="containsText" text="ADECUADO">
      <formula>NOT(ISERROR(SEARCH("ADECUADO",U186)))</formula>
    </cfRule>
    <cfRule type="containsText" dxfId="175" priority="191" operator="containsText" text="ÓPTIMO">
      <formula>NOT(ISERROR(SEARCH("ÓPTIMO",U186)))</formula>
    </cfRule>
  </conditionalFormatting>
  <conditionalFormatting sqref="U186:Z188">
    <cfRule type="containsText" dxfId="174" priority="182" operator="containsText" text="Subestimado">
      <formula>NOT(ISERROR(SEARCH("Subestimado",U186)))</formula>
    </cfRule>
    <cfRule type="containsText" dxfId="173" priority="183" operator="containsText" text="CRÍTICO">
      <formula>NOT(ISERROR(SEARCH("CRÍTICO",U186)))</formula>
    </cfRule>
    <cfRule type="containsText" dxfId="172" priority="184" operator="containsText" text="RIESGO">
      <formula>NOT(ISERROR(SEARCH("RIESGO",U186)))</formula>
    </cfRule>
    <cfRule type="containsText" dxfId="171" priority="185" operator="containsText" text="ADECUADO">
      <formula>NOT(ISERROR(SEARCH("ADECUADO",U186)))</formula>
    </cfRule>
    <cfRule type="containsText" dxfId="170" priority="186" operator="containsText" text="ÓPTIMO">
      <formula>NOT(ISERROR(SEARCH("ÓPTIMO",U186)))</formula>
    </cfRule>
  </conditionalFormatting>
  <conditionalFormatting sqref="AA186:AA188">
    <cfRule type="containsText" dxfId="169" priority="177" operator="containsText" text="Subestimado">
      <formula>NOT(ISERROR(SEARCH("Subestimado",AA186)))</formula>
    </cfRule>
    <cfRule type="containsText" dxfId="168" priority="178" operator="containsText" text="CRÍTICO">
      <formula>NOT(ISERROR(SEARCH("CRÍTICO",AA186)))</formula>
    </cfRule>
    <cfRule type="containsText" dxfId="167" priority="179" operator="containsText" text="RIESGO">
      <formula>NOT(ISERROR(SEARCH("RIESGO",AA186)))</formula>
    </cfRule>
    <cfRule type="containsText" dxfId="166" priority="180" operator="containsText" text="ADECUADO">
      <formula>NOT(ISERROR(SEARCH("ADECUADO",AA186)))</formula>
    </cfRule>
    <cfRule type="containsText" dxfId="165" priority="181" operator="containsText" text="ÓPTIMO">
      <formula>NOT(ISERROR(SEARCH("ÓPTIMO",AA186)))</formula>
    </cfRule>
  </conditionalFormatting>
  <conditionalFormatting sqref="AA186:AA188">
    <cfRule type="containsText" dxfId="164" priority="172" operator="containsText" text="Subestimado">
      <formula>NOT(ISERROR(SEARCH("Subestimado",AA186)))</formula>
    </cfRule>
    <cfRule type="containsText" dxfId="163" priority="173" operator="containsText" text="CRÍTICO">
      <formula>NOT(ISERROR(SEARCH("CRÍTICO",AA186)))</formula>
    </cfRule>
    <cfRule type="containsText" dxfId="162" priority="174" operator="containsText" text="RIESGO">
      <formula>NOT(ISERROR(SEARCH("RIESGO",AA186)))</formula>
    </cfRule>
    <cfRule type="containsText" dxfId="161" priority="175" operator="containsText" text="ADECUADO">
      <formula>NOT(ISERROR(SEARCH("ADECUADO",AA186)))</formula>
    </cfRule>
    <cfRule type="containsText" dxfId="160" priority="176" operator="containsText" text="ÓPTIMO">
      <formula>NOT(ISERROR(SEARCH("ÓPTIMO",AA186)))</formula>
    </cfRule>
  </conditionalFormatting>
  <conditionalFormatting sqref="AO5:AO185">
    <cfRule type="containsText" dxfId="159" priority="156" operator="containsText" text="Subestimado">
      <formula>NOT(ISERROR(SEARCH("Subestimado",AO5)))</formula>
    </cfRule>
    <cfRule type="containsText" dxfId="158" priority="157" operator="containsText" text="CRÍTICO">
      <formula>NOT(ISERROR(SEARCH("CRÍTICO",AO5)))</formula>
    </cfRule>
    <cfRule type="containsText" dxfId="157" priority="158" operator="containsText" text="RIESGO">
      <formula>NOT(ISERROR(SEARCH("RIESGO",AO5)))</formula>
    </cfRule>
    <cfRule type="containsText" dxfId="156" priority="159" operator="containsText" text="ADECUADO">
      <formula>NOT(ISERROR(SEARCH("ADECUADO",AO5)))</formula>
    </cfRule>
    <cfRule type="containsText" dxfId="155" priority="160" operator="containsText" text="ÓPTIMO">
      <formula>NOT(ISERROR(SEARCH("ÓPTIMO",AO5)))</formula>
    </cfRule>
  </conditionalFormatting>
  <conditionalFormatting sqref="AO5:AO326">
    <cfRule type="containsText" dxfId="154" priority="151" operator="containsText" text="Subestimado">
      <formula>NOT(ISERROR(SEARCH("Subestimado",AO5)))</formula>
    </cfRule>
    <cfRule type="containsText" dxfId="153" priority="152" operator="containsText" text="CRÍTICO">
      <formula>NOT(ISERROR(SEARCH("CRÍTICO",AO5)))</formula>
    </cfRule>
    <cfRule type="containsText" dxfId="152" priority="153" operator="containsText" text="RIESGO">
      <formula>NOT(ISERROR(SEARCH("RIESGO",AO5)))</formula>
    </cfRule>
    <cfRule type="containsText" dxfId="151" priority="154" operator="containsText" text="ADECUADO">
      <formula>NOT(ISERROR(SEARCH("ADECUADO",AO5)))</formula>
    </cfRule>
    <cfRule type="containsText" dxfId="150" priority="155" operator="containsText" text="ÓPTIMO">
      <formula>NOT(ISERROR(SEARCH("ÓPTIMO",AO5)))</formula>
    </cfRule>
  </conditionalFormatting>
  <conditionalFormatting sqref="Y36">
    <cfRule type="containsText" dxfId="149" priority="146" operator="containsText" text="Subestimado">
      <formula>NOT(ISERROR(SEARCH("Subestimado",Y36)))</formula>
    </cfRule>
    <cfRule type="containsText" dxfId="148" priority="147" operator="containsText" text="CRÍTICO">
      <formula>NOT(ISERROR(SEARCH("CRÍTICO",Y36)))</formula>
    </cfRule>
    <cfRule type="containsText" dxfId="147" priority="148" operator="containsText" text="RIESGO">
      <formula>NOT(ISERROR(SEARCH("RIESGO",Y36)))</formula>
    </cfRule>
    <cfRule type="containsText" dxfId="146" priority="149" operator="containsText" text="ADECUADO">
      <formula>NOT(ISERROR(SEARCH("ADECUADO",Y36)))</formula>
    </cfRule>
    <cfRule type="containsText" dxfId="145" priority="150" operator="containsText" text="ÓPTIMO">
      <formula>NOT(ISERROR(SEARCH("ÓPTIMO",Y36)))</formula>
    </cfRule>
  </conditionalFormatting>
  <conditionalFormatting sqref="Y64">
    <cfRule type="containsText" dxfId="144" priority="141" operator="containsText" text="Subestimado">
      <formula>NOT(ISERROR(SEARCH("Subestimado",Y64)))</formula>
    </cfRule>
    <cfRule type="containsText" dxfId="143" priority="142" operator="containsText" text="CRÍTICO">
      <formula>NOT(ISERROR(SEARCH("CRÍTICO",Y64)))</formula>
    </cfRule>
    <cfRule type="containsText" dxfId="142" priority="143" operator="containsText" text="RIESGO">
      <formula>NOT(ISERROR(SEARCH("RIESGO",Y64)))</formula>
    </cfRule>
    <cfRule type="containsText" dxfId="141" priority="144" operator="containsText" text="ADECUADO">
      <formula>NOT(ISERROR(SEARCH("ADECUADO",Y64)))</formula>
    </cfRule>
    <cfRule type="containsText" dxfId="140" priority="145" operator="containsText" text="ÓPTIMO">
      <formula>NOT(ISERROR(SEARCH("ÓPTIMO",Y64)))</formula>
    </cfRule>
  </conditionalFormatting>
  <conditionalFormatting sqref="Y81">
    <cfRule type="containsText" dxfId="139" priority="136" operator="containsText" text="Subestimado">
      <formula>NOT(ISERROR(SEARCH("Subestimado",Y81)))</formula>
    </cfRule>
    <cfRule type="containsText" dxfId="138" priority="137" operator="containsText" text="CRÍTICO">
      <formula>NOT(ISERROR(SEARCH("CRÍTICO",Y81)))</formula>
    </cfRule>
    <cfRule type="containsText" dxfId="137" priority="138" operator="containsText" text="RIESGO">
      <formula>NOT(ISERROR(SEARCH("RIESGO",Y81)))</formula>
    </cfRule>
    <cfRule type="containsText" dxfId="136" priority="139" operator="containsText" text="ADECUADO">
      <formula>NOT(ISERROR(SEARCH("ADECUADO",Y81)))</formula>
    </cfRule>
    <cfRule type="containsText" dxfId="135" priority="140" operator="containsText" text="ÓPTIMO">
      <formula>NOT(ISERROR(SEARCH("ÓPTIMO",Y81)))</formula>
    </cfRule>
  </conditionalFormatting>
  <conditionalFormatting sqref="Y104">
    <cfRule type="containsText" dxfId="134" priority="131" operator="containsText" text="Subestimado">
      <formula>NOT(ISERROR(SEARCH("Subestimado",Y104)))</formula>
    </cfRule>
    <cfRule type="containsText" dxfId="133" priority="132" operator="containsText" text="CRÍTICO">
      <formula>NOT(ISERROR(SEARCH("CRÍTICO",Y104)))</formula>
    </cfRule>
    <cfRule type="containsText" dxfId="132" priority="133" operator="containsText" text="RIESGO">
      <formula>NOT(ISERROR(SEARCH("RIESGO",Y104)))</formula>
    </cfRule>
    <cfRule type="containsText" dxfId="131" priority="134" operator="containsText" text="ADECUADO">
      <formula>NOT(ISERROR(SEARCH("ADECUADO",Y104)))</formula>
    </cfRule>
    <cfRule type="containsText" dxfId="130" priority="135" operator="containsText" text="ÓPTIMO">
      <formula>NOT(ISERROR(SEARCH("ÓPTIMO",Y104)))</formula>
    </cfRule>
  </conditionalFormatting>
  <conditionalFormatting sqref="Y113">
    <cfRule type="containsText" dxfId="129" priority="126" operator="containsText" text="Subestimado">
      <formula>NOT(ISERROR(SEARCH("Subestimado",Y113)))</formula>
    </cfRule>
    <cfRule type="containsText" dxfId="128" priority="127" operator="containsText" text="CRÍTICO">
      <formula>NOT(ISERROR(SEARCH("CRÍTICO",Y113)))</formula>
    </cfRule>
    <cfRule type="containsText" dxfId="127" priority="128" operator="containsText" text="RIESGO">
      <formula>NOT(ISERROR(SEARCH("RIESGO",Y113)))</formula>
    </cfRule>
    <cfRule type="containsText" dxfId="126" priority="129" operator="containsText" text="ADECUADO">
      <formula>NOT(ISERROR(SEARCH("ADECUADO",Y113)))</formula>
    </cfRule>
    <cfRule type="containsText" dxfId="125" priority="130" operator="containsText" text="ÓPTIMO">
      <formula>NOT(ISERROR(SEARCH("ÓPTIMO",Y113)))</formula>
    </cfRule>
  </conditionalFormatting>
  <conditionalFormatting sqref="Y124">
    <cfRule type="containsText" dxfId="124" priority="121" operator="containsText" text="Subestimado">
      <formula>NOT(ISERROR(SEARCH("Subestimado",Y124)))</formula>
    </cfRule>
    <cfRule type="containsText" dxfId="123" priority="122" operator="containsText" text="CRÍTICO">
      <formula>NOT(ISERROR(SEARCH("CRÍTICO",Y124)))</formula>
    </cfRule>
    <cfRule type="containsText" dxfId="122" priority="123" operator="containsText" text="RIESGO">
      <formula>NOT(ISERROR(SEARCH("RIESGO",Y124)))</formula>
    </cfRule>
    <cfRule type="containsText" dxfId="121" priority="124" operator="containsText" text="ADECUADO">
      <formula>NOT(ISERROR(SEARCH("ADECUADO",Y124)))</formula>
    </cfRule>
    <cfRule type="containsText" dxfId="120" priority="125" operator="containsText" text="ÓPTIMO">
      <formula>NOT(ISERROR(SEARCH("ÓPTIMO",Y124)))</formula>
    </cfRule>
  </conditionalFormatting>
  <conditionalFormatting sqref="Y153">
    <cfRule type="containsText" dxfId="119" priority="116" operator="containsText" text="Subestimado">
      <formula>NOT(ISERROR(SEARCH("Subestimado",Y153)))</formula>
    </cfRule>
    <cfRule type="containsText" dxfId="118" priority="117" operator="containsText" text="CRÍTICO">
      <formula>NOT(ISERROR(SEARCH("CRÍTICO",Y153)))</formula>
    </cfRule>
    <cfRule type="containsText" dxfId="117" priority="118" operator="containsText" text="RIESGO">
      <formula>NOT(ISERROR(SEARCH("RIESGO",Y153)))</formula>
    </cfRule>
    <cfRule type="containsText" dxfId="116" priority="119" operator="containsText" text="ADECUADO">
      <formula>NOT(ISERROR(SEARCH("ADECUADO",Y153)))</formula>
    </cfRule>
    <cfRule type="containsText" dxfId="115" priority="120" operator="containsText" text="ÓPTIMO">
      <formula>NOT(ISERROR(SEARCH("ÓPTIMO",Y153)))</formula>
    </cfRule>
  </conditionalFormatting>
  <conditionalFormatting sqref="Y173">
    <cfRule type="containsText" dxfId="114" priority="111" operator="containsText" text="Subestimado">
      <formula>NOT(ISERROR(SEARCH("Subestimado",Y173)))</formula>
    </cfRule>
    <cfRule type="containsText" dxfId="113" priority="112" operator="containsText" text="CRÍTICO">
      <formula>NOT(ISERROR(SEARCH("CRÍTICO",Y173)))</formula>
    </cfRule>
    <cfRule type="containsText" dxfId="112" priority="113" operator="containsText" text="RIESGO">
      <formula>NOT(ISERROR(SEARCH("RIESGO",Y173)))</formula>
    </cfRule>
    <cfRule type="containsText" dxfId="111" priority="114" operator="containsText" text="ADECUADO">
      <formula>NOT(ISERROR(SEARCH("ADECUADO",Y173)))</formula>
    </cfRule>
    <cfRule type="containsText" dxfId="110" priority="115" operator="containsText" text="ÓPTIMO">
      <formula>NOT(ISERROR(SEARCH("ÓPTIMO",Y173)))</formula>
    </cfRule>
  </conditionalFormatting>
  <conditionalFormatting sqref="Y189">
    <cfRule type="containsText" dxfId="109" priority="106" operator="containsText" text="Subestimado">
      <formula>NOT(ISERROR(SEARCH("Subestimado",Y189)))</formula>
    </cfRule>
    <cfRule type="containsText" dxfId="108" priority="107" operator="containsText" text="CRÍTICO">
      <formula>NOT(ISERROR(SEARCH("CRÍTICO",Y189)))</formula>
    </cfRule>
    <cfRule type="containsText" dxfId="107" priority="108" operator="containsText" text="RIESGO">
      <formula>NOT(ISERROR(SEARCH("RIESGO",Y189)))</formula>
    </cfRule>
    <cfRule type="containsText" dxfId="106" priority="109" operator="containsText" text="ADECUADO">
      <formula>NOT(ISERROR(SEARCH("ADECUADO",Y189)))</formula>
    </cfRule>
    <cfRule type="containsText" dxfId="105" priority="110" operator="containsText" text="ÓPTIMO">
      <formula>NOT(ISERROR(SEARCH("ÓPTIMO",Y189)))</formula>
    </cfRule>
  </conditionalFormatting>
  <conditionalFormatting sqref="Y216">
    <cfRule type="containsText" dxfId="104" priority="101" operator="containsText" text="Subestimado">
      <formula>NOT(ISERROR(SEARCH("Subestimado",Y216)))</formula>
    </cfRule>
    <cfRule type="containsText" dxfId="103" priority="102" operator="containsText" text="CRÍTICO">
      <formula>NOT(ISERROR(SEARCH("CRÍTICO",Y216)))</formula>
    </cfRule>
    <cfRule type="containsText" dxfId="102" priority="103" operator="containsText" text="RIESGO">
      <formula>NOT(ISERROR(SEARCH("RIESGO",Y216)))</formula>
    </cfRule>
    <cfRule type="containsText" dxfId="101" priority="104" operator="containsText" text="ADECUADO">
      <formula>NOT(ISERROR(SEARCH("ADECUADO",Y216)))</formula>
    </cfRule>
    <cfRule type="containsText" dxfId="100" priority="105" operator="containsText" text="ÓPTIMO">
      <formula>NOT(ISERROR(SEARCH("ÓPTIMO",Y216)))</formula>
    </cfRule>
  </conditionalFormatting>
  <conditionalFormatting sqref="Y224">
    <cfRule type="containsText" dxfId="99" priority="96" operator="containsText" text="Subestimado">
      <formula>NOT(ISERROR(SEARCH("Subestimado",Y224)))</formula>
    </cfRule>
    <cfRule type="containsText" dxfId="98" priority="97" operator="containsText" text="CRÍTICO">
      <formula>NOT(ISERROR(SEARCH("CRÍTICO",Y224)))</formula>
    </cfRule>
    <cfRule type="containsText" dxfId="97" priority="98" operator="containsText" text="RIESGO">
      <formula>NOT(ISERROR(SEARCH("RIESGO",Y224)))</formula>
    </cfRule>
    <cfRule type="containsText" dxfId="96" priority="99" operator="containsText" text="ADECUADO">
      <formula>NOT(ISERROR(SEARCH("ADECUADO",Y224)))</formula>
    </cfRule>
    <cfRule type="containsText" dxfId="95" priority="100" operator="containsText" text="ÓPTIMO">
      <formula>NOT(ISERROR(SEARCH("ÓPTIMO",Y224)))</formula>
    </cfRule>
  </conditionalFormatting>
  <conditionalFormatting sqref="Y261">
    <cfRule type="containsText" dxfId="94" priority="91" operator="containsText" text="Subestimado">
      <formula>NOT(ISERROR(SEARCH("Subestimado",Y261)))</formula>
    </cfRule>
    <cfRule type="containsText" dxfId="93" priority="92" operator="containsText" text="CRÍTICO">
      <formula>NOT(ISERROR(SEARCH("CRÍTICO",Y261)))</formula>
    </cfRule>
    <cfRule type="containsText" dxfId="92" priority="93" operator="containsText" text="RIESGO">
      <formula>NOT(ISERROR(SEARCH("RIESGO",Y261)))</formula>
    </cfRule>
    <cfRule type="containsText" dxfId="91" priority="94" operator="containsText" text="ADECUADO">
      <formula>NOT(ISERROR(SEARCH("ADECUADO",Y261)))</formula>
    </cfRule>
    <cfRule type="containsText" dxfId="90" priority="95" operator="containsText" text="ÓPTIMO">
      <formula>NOT(ISERROR(SEARCH("ÓPTIMO",Y261)))</formula>
    </cfRule>
  </conditionalFormatting>
  <conditionalFormatting sqref="Y281">
    <cfRule type="containsText" dxfId="89" priority="86" operator="containsText" text="Subestimado">
      <formula>NOT(ISERROR(SEARCH("Subestimado",Y281)))</formula>
    </cfRule>
    <cfRule type="containsText" dxfId="88" priority="87" operator="containsText" text="CRÍTICO">
      <formula>NOT(ISERROR(SEARCH("CRÍTICO",Y281)))</formula>
    </cfRule>
    <cfRule type="containsText" dxfId="87" priority="88" operator="containsText" text="RIESGO">
      <formula>NOT(ISERROR(SEARCH("RIESGO",Y281)))</formula>
    </cfRule>
    <cfRule type="containsText" dxfId="86" priority="89" operator="containsText" text="ADECUADO">
      <formula>NOT(ISERROR(SEARCH("ADECUADO",Y281)))</formula>
    </cfRule>
    <cfRule type="containsText" dxfId="85" priority="90" operator="containsText" text="ÓPTIMO">
      <formula>NOT(ISERROR(SEARCH("ÓPTIMO",Y281)))</formula>
    </cfRule>
  </conditionalFormatting>
  <conditionalFormatting sqref="Y294">
    <cfRule type="containsText" dxfId="84" priority="81" operator="containsText" text="Subestimado">
      <formula>NOT(ISERROR(SEARCH("Subestimado",Y294)))</formula>
    </cfRule>
    <cfRule type="containsText" dxfId="83" priority="82" operator="containsText" text="CRÍTICO">
      <formula>NOT(ISERROR(SEARCH("CRÍTICO",Y294)))</formula>
    </cfRule>
    <cfRule type="containsText" dxfId="82" priority="83" operator="containsText" text="RIESGO">
      <formula>NOT(ISERROR(SEARCH("RIESGO",Y294)))</formula>
    </cfRule>
    <cfRule type="containsText" dxfId="81" priority="84" operator="containsText" text="ADECUADO">
      <formula>NOT(ISERROR(SEARCH("ADECUADO",Y294)))</formula>
    </cfRule>
    <cfRule type="containsText" dxfId="80" priority="85" operator="containsText" text="ÓPTIMO">
      <formula>NOT(ISERROR(SEARCH("ÓPTIMO",Y294)))</formula>
    </cfRule>
  </conditionalFormatting>
  <conditionalFormatting sqref="Y312">
    <cfRule type="containsText" dxfId="79" priority="76" operator="containsText" text="Subestimado">
      <formula>NOT(ISERROR(SEARCH("Subestimado",Y312)))</formula>
    </cfRule>
    <cfRule type="containsText" dxfId="78" priority="77" operator="containsText" text="CRÍTICO">
      <formula>NOT(ISERROR(SEARCH("CRÍTICO",Y312)))</formula>
    </cfRule>
    <cfRule type="containsText" dxfId="77" priority="78" operator="containsText" text="RIESGO">
      <formula>NOT(ISERROR(SEARCH("RIESGO",Y312)))</formula>
    </cfRule>
    <cfRule type="containsText" dxfId="76" priority="79" operator="containsText" text="ADECUADO">
      <formula>NOT(ISERROR(SEARCH("ADECUADO",Y312)))</formula>
    </cfRule>
    <cfRule type="containsText" dxfId="75" priority="80" operator="containsText" text="ÓPTIMO">
      <formula>NOT(ISERROR(SEARCH("ÓPTIMO",Y312)))</formula>
    </cfRule>
  </conditionalFormatting>
  <conditionalFormatting sqref="AG36">
    <cfRule type="containsText" dxfId="74" priority="71" operator="containsText" text="Subestimado">
      <formula>NOT(ISERROR(SEARCH("Subestimado",AG36)))</formula>
    </cfRule>
    <cfRule type="containsText" dxfId="73" priority="72" operator="containsText" text="CRÍTICO">
      <formula>NOT(ISERROR(SEARCH("CRÍTICO",AG36)))</formula>
    </cfRule>
    <cfRule type="containsText" dxfId="72" priority="73" operator="containsText" text="RIESGO">
      <formula>NOT(ISERROR(SEARCH("RIESGO",AG36)))</formula>
    </cfRule>
    <cfRule type="containsText" dxfId="71" priority="74" operator="containsText" text="ADECUADO">
      <formula>NOT(ISERROR(SEARCH("ADECUADO",AG36)))</formula>
    </cfRule>
    <cfRule type="containsText" dxfId="70" priority="75" operator="containsText" text="ÓPTIMO">
      <formula>NOT(ISERROR(SEARCH("ÓPTIMO",AG36)))</formula>
    </cfRule>
  </conditionalFormatting>
  <conditionalFormatting sqref="AG64">
    <cfRule type="containsText" dxfId="69" priority="66" operator="containsText" text="Subestimado">
      <formula>NOT(ISERROR(SEARCH("Subestimado",AG64)))</formula>
    </cfRule>
    <cfRule type="containsText" dxfId="68" priority="67" operator="containsText" text="CRÍTICO">
      <formula>NOT(ISERROR(SEARCH("CRÍTICO",AG64)))</formula>
    </cfRule>
    <cfRule type="containsText" dxfId="67" priority="68" operator="containsText" text="RIESGO">
      <formula>NOT(ISERROR(SEARCH("RIESGO",AG64)))</formula>
    </cfRule>
    <cfRule type="containsText" dxfId="66" priority="69" operator="containsText" text="ADECUADO">
      <formula>NOT(ISERROR(SEARCH("ADECUADO",AG64)))</formula>
    </cfRule>
    <cfRule type="containsText" dxfId="65" priority="70" operator="containsText" text="ÓPTIMO">
      <formula>NOT(ISERROR(SEARCH("ÓPTIMO",AG64)))</formula>
    </cfRule>
  </conditionalFormatting>
  <conditionalFormatting sqref="AG81">
    <cfRule type="containsText" dxfId="64" priority="61" operator="containsText" text="Subestimado">
      <formula>NOT(ISERROR(SEARCH("Subestimado",AG81)))</formula>
    </cfRule>
    <cfRule type="containsText" dxfId="63" priority="62" operator="containsText" text="CRÍTICO">
      <formula>NOT(ISERROR(SEARCH("CRÍTICO",AG81)))</formula>
    </cfRule>
    <cfRule type="containsText" dxfId="62" priority="63" operator="containsText" text="RIESGO">
      <formula>NOT(ISERROR(SEARCH("RIESGO",AG81)))</formula>
    </cfRule>
    <cfRule type="containsText" dxfId="61" priority="64" operator="containsText" text="ADECUADO">
      <formula>NOT(ISERROR(SEARCH("ADECUADO",AG81)))</formula>
    </cfRule>
    <cfRule type="containsText" dxfId="60" priority="65" operator="containsText" text="ÓPTIMO">
      <formula>NOT(ISERROR(SEARCH("ÓPTIMO",AG81)))</formula>
    </cfRule>
  </conditionalFormatting>
  <conditionalFormatting sqref="AG104">
    <cfRule type="containsText" dxfId="59" priority="56" operator="containsText" text="Subestimado">
      <formula>NOT(ISERROR(SEARCH("Subestimado",AG104)))</formula>
    </cfRule>
    <cfRule type="containsText" dxfId="58" priority="57" operator="containsText" text="CRÍTICO">
      <formula>NOT(ISERROR(SEARCH("CRÍTICO",AG104)))</formula>
    </cfRule>
    <cfRule type="containsText" dxfId="57" priority="58" operator="containsText" text="RIESGO">
      <formula>NOT(ISERROR(SEARCH("RIESGO",AG104)))</formula>
    </cfRule>
    <cfRule type="containsText" dxfId="56" priority="59" operator="containsText" text="ADECUADO">
      <formula>NOT(ISERROR(SEARCH("ADECUADO",AG104)))</formula>
    </cfRule>
    <cfRule type="containsText" dxfId="55" priority="60" operator="containsText" text="ÓPTIMO">
      <formula>NOT(ISERROR(SEARCH("ÓPTIMO",AG104)))</formula>
    </cfRule>
  </conditionalFormatting>
  <conditionalFormatting sqref="AG113">
    <cfRule type="containsText" dxfId="54" priority="51" operator="containsText" text="Subestimado">
      <formula>NOT(ISERROR(SEARCH("Subestimado",AG113)))</formula>
    </cfRule>
    <cfRule type="containsText" dxfId="53" priority="52" operator="containsText" text="CRÍTICO">
      <formula>NOT(ISERROR(SEARCH("CRÍTICO",AG113)))</formula>
    </cfRule>
    <cfRule type="containsText" dxfId="52" priority="53" operator="containsText" text="RIESGO">
      <formula>NOT(ISERROR(SEARCH("RIESGO",AG113)))</formula>
    </cfRule>
    <cfRule type="containsText" dxfId="51" priority="54" operator="containsText" text="ADECUADO">
      <formula>NOT(ISERROR(SEARCH("ADECUADO",AG113)))</formula>
    </cfRule>
    <cfRule type="containsText" dxfId="50" priority="55" operator="containsText" text="ÓPTIMO">
      <formula>NOT(ISERROR(SEARCH("ÓPTIMO",AG113)))</formula>
    </cfRule>
  </conditionalFormatting>
  <conditionalFormatting sqref="AG124">
    <cfRule type="containsText" dxfId="49" priority="46" operator="containsText" text="Subestimado">
      <formula>NOT(ISERROR(SEARCH("Subestimado",AG124)))</formula>
    </cfRule>
    <cfRule type="containsText" dxfId="48" priority="47" operator="containsText" text="CRÍTICO">
      <formula>NOT(ISERROR(SEARCH("CRÍTICO",AG124)))</formula>
    </cfRule>
    <cfRule type="containsText" dxfId="47" priority="48" operator="containsText" text="RIESGO">
      <formula>NOT(ISERROR(SEARCH("RIESGO",AG124)))</formula>
    </cfRule>
    <cfRule type="containsText" dxfId="46" priority="49" operator="containsText" text="ADECUADO">
      <formula>NOT(ISERROR(SEARCH("ADECUADO",AG124)))</formula>
    </cfRule>
    <cfRule type="containsText" dxfId="45" priority="50" operator="containsText" text="ÓPTIMO">
      <formula>NOT(ISERROR(SEARCH("ÓPTIMO",AG124)))</formula>
    </cfRule>
  </conditionalFormatting>
  <conditionalFormatting sqref="AG153">
    <cfRule type="containsText" dxfId="44" priority="41" operator="containsText" text="Subestimado">
      <formula>NOT(ISERROR(SEARCH("Subestimado",AG153)))</formula>
    </cfRule>
    <cfRule type="containsText" dxfId="43" priority="42" operator="containsText" text="CRÍTICO">
      <formula>NOT(ISERROR(SEARCH("CRÍTICO",AG153)))</formula>
    </cfRule>
    <cfRule type="containsText" dxfId="42" priority="43" operator="containsText" text="RIESGO">
      <formula>NOT(ISERROR(SEARCH("RIESGO",AG153)))</formula>
    </cfRule>
    <cfRule type="containsText" dxfId="41" priority="44" operator="containsText" text="ADECUADO">
      <formula>NOT(ISERROR(SEARCH("ADECUADO",AG153)))</formula>
    </cfRule>
    <cfRule type="containsText" dxfId="40" priority="45" operator="containsText" text="ÓPTIMO">
      <formula>NOT(ISERROR(SEARCH("ÓPTIMO",AG153)))</formula>
    </cfRule>
  </conditionalFormatting>
  <conditionalFormatting sqref="AG173">
    <cfRule type="containsText" dxfId="39" priority="36" operator="containsText" text="Subestimado">
      <formula>NOT(ISERROR(SEARCH("Subestimado",AG173)))</formula>
    </cfRule>
    <cfRule type="containsText" dxfId="38" priority="37" operator="containsText" text="CRÍTICO">
      <formula>NOT(ISERROR(SEARCH("CRÍTICO",AG173)))</formula>
    </cfRule>
    <cfRule type="containsText" dxfId="37" priority="38" operator="containsText" text="RIESGO">
      <formula>NOT(ISERROR(SEARCH("RIESGO",AG173)))</formula>
    </cfRule>
    <cfRule type="containsText" dxfId="36" priority="39" operator="containsText" text="ADECUADO">
      <formula>NOT(ISERROR(SEARCH("ADECUADO",AG173)))</formula>
    </cfRule>
    <cfRule type="containsText" dxfId="35" priority="40" operator="containsText" text="ÓPTIMO">
      <formula>NOT(ISERROR(SEARCH("ÓPTIMO",AG173)))</formula>
    </cfRule>
  </conditionalFormatting>
  <conditionalFormatting sqref="AG189">
    <cfRule type="containsText" dxfId="34" priority="31" operator="containsText" text="Subestimado">
      <formula>NOT(ISERROR(SEARCH("Subestimado",AG189)))</formula>
    </cfRule>
    <cfRule type="containsText" dxfId="33" priority="32" operator="containsText" text="CRÍTICO">
      <formula>NOT(ISERROR(SEARCH("CRÍTICO",AG189)))</formula>
    </cfRule>
    <cfRule type="containsText" dxfId="32" priority="33" operator="containsText" text="RIESGO">
      <formula>NOT(ISERROR(SEARCH("RIESGO",AG189)))</formula>
    </cfRule>
    <cfRule type="containsText" dxfId="31" priority="34" operator="containsText" text="ADECUADO">
      <formula>NOT(ISERROR(SEARCH("ADECUADO",AG189)))</formula>
    </cfRule>
    <cfRule type="containsText" dxfId="30" priority="35" operator="containsText" text="ÓPTIMO">
      <formula>NOT(ISERROR(SEARCH("ÓPTIMO",AG189)))</formula>
    </cfRule>
  </conditionalFormatting>
  <conditionalFormatting sqref="AG216">
    <cfRule type="containsText" dxfId="29" priority="26" operator="containsText" text="Subestimado">
      <formula>NOT(ISERROR(SEARCH("Subestimado",AG216)))</formula>
    </cfRule>
    <cfRule type="containsText" dxfId="28" priority="27" operator="containsText" text="CRÍTICO">
      <formula>NOT(ISERROR(SEARCH("CRÍTICO",AG216)))</formula>
    </cfRule>
    <cfRule type="containsText" dxfId="27" priority="28" operator="containsText" text="RIESGO">
      <formula>NOT(ISERROR(SEARCH("RIESGO",AG216)))</formula>
    </cfRule>
    <cfRule type="containsText" dxfId="26" priority="29" operator="containsText" text="ADECUADO">
      <formula>NOT(ISERROR(SEARCH("ADECUADO",AG216)))</formula>
    </cfRule>
    <cfRule type="containsText" dxfId="25" priority="30" operator="containsText" text="ÓPTIMO">
      <formula>NOT(ISERROR(SEARCH("ÓPTIMO",AG216)))</formula>
    </cfRule>
  </conditionalFormatting>
  <conditionalFormatting sqref="AG224">
    <cfRule type="containsText" dxfId="24" priority="21" operator="containsText" text="Subestimado">
      <formula>NOT(ISERROR(SEARCH("Subestimado",AG224)))</formula>
    </cfRule>
    <cfRule type="containsText" dxfId="23" priority="22" operator="containsText" text="CRÍTICO">
      <formula>NOT(ISERROR(SEARCH("CRÍTICO",AG224)))</formula>
    </cfRule>
    <cfRule type="containsText" dxfId="22" priority="23" operator="containsText" text="RIESGO">
      <formula>NOT(ISERROR(SEARCH("RIESGO",AG224)))</formula>
    </cfRule>
    <cfRule type="containsText" dxfId="21" priority="24" operator="containsText" text="ADECUADO">
      <formula>NOT(ISERROR(SEARCH("ADECUADO",AG224)))</formula>
    </cfRule>
    <cfRule type="containsText" dxfId="20" priority="25" operator="containsText" text="ÓPTIMO">
      <formula>NOT(ISERROR(SEARCH("ÓPTIMO",AG224)))</formula>
    </cfRule>
  </conditionalFormatting>
  <conditionalFormatting sqref="AG261">
    <cfRule type="containsText" dxfId="19" priority="16" operator="containsText" text="Subestimado">
      <formula>NOT(ISERROR(SEARCH("Subestimado",AG261)))</formula>
    </cfRule>
    <cfRule type="containsText" dxfId="18" priority="17" operator="containsText" text="CRÍTICO">
      <formula>NOT(ISERROR(SEARCH("CRÍTICO",AG261)))</formula>
    </cfRule>
    <cfRule type="containsText" dxfId="17" priority="18" operator="containsText" text="RIESGO">
      <formula>NOT(ISERROR(SEARCH("RIESGO",AG261)))</formula>
    </cfRule>
    <cfRule type="containsText" dxfId="16" priority="19" operator="containsText" text="ADECUADO">
      <formula>NOT(ISERROR(SEARCH("ADECUADO",AG261)))</formula>
    </cfRule>
    <cfRule type="containsText" dxfId="15" priority="20" operator="containsText" text="ÓPTIMO">
      <formula>NOT(ISERROR(SEARCH("ÓPTIMO",AG261)))</formula>
    </cfRule>
  </conditionalFormatting>
  <conditionalFormatting sqref="AG281">
    <cfRule type="containsText" dxfId="14" priority="11" operator="containsText" text="Subestimado">
      <formula>NOT(ISERROR(SEARCH("Subestimado",AG281)))</formula>
    </cfRule>
    <cfRule type="containsText" dxfId="13" priority="12" operator="containsText" text="CRÍTICO">
      <formula>NOT(ISERROR(SEARCH("CRÍTICO",AG281)))</formula>
    </cfRule>
    <cfRule type="containsText" dxfId="12" priority="13" operator="containsText" text="RIESGO">
      <formula>NOT(ISERROR(SEARCH("RIESGO",AG281)))</formula>
    </cfRule>
    <cfRule type="containsText" dxfId="11" priority="14" operator="containsText" text="ADECUADO">
      <formula>NOT(ISERROR(SEARCH("ADECUADO",AG281)))</formula>
    </cfRule>
    <cfRule type="containsText" dxfId="10" priority="15" operator="containsText" text="ÓPTIMO">
      <formula>NOT(ISERROR(SEARCH("ÓPTIMO",AG281)))</formula>
    </cfRule>
  </conditionalFormatting>
  <conditionalFormatting sqref="AG294">
    <cfRule type="containsText" dxfId="9" priority="6" operator="containsText" text="Subestimado">
      <formula>NOT(ISERROR(SEARCH("Subestimado",AG294)))</formula>
    </cfRule>
    <cfRule type="containsText" dxfId="8" priority="7" operator="containsText" text="CRÍTICO">
      <formula>NOT(ISERROR(SEARCH("CRÍTICO",AG294)))</formula>
    </cfRule>
    <cfRule type="containsText" dxfId="7" priority="8" operator="containsText" text="RIESGO">
      <formula>NOT(ISERROR(SEARCH("RIESGO",AG294)))</formula>
    </cfRule>
    <cfRule type="containsText" dxfId="6" priority="9" operator="containsText" text="ADECUADO">
      <formula>NOT(ISERROR(SEARCH("ADECUADO",AG294)))</formula>
    </cfRule>
    <cfRule type="containsText" dxfId="5" priority="10" operator="containsText" text="ÓPTIMO">
      <formula>NOT(ISERROR(SEARCH("ÓPTIMO",AG294)))</formula>
    </cfRule>
  </conditionalFormatting>
  <conditionalFormatting sqref="AG312">
    <cfRule type="containsText" dxfId="4" priority="1" operator="containsText" text="Subestimado">
      <formula>NOT(ISERROR(SEARCH("Subestimado",AG312)))</formula>
    </cfRule>
    <cfRule type="containsText" dxfId="3" priority="2" operator="containsText" text="CRÍTICO">
      <formula>NOT(ISERROR(SEARCH("CRÍTICO",AG312)))</formula>
    </cfRule>
    <cfRule type="containsText" dxfId="2" priority="3" operator="containsText" text="RIESGO">
      <formula>NOT(ISERROR(SEARCH("RIESGO",AG312)))</formula>
    </cfRule>
    <cfRule type="containsText" dxfId="1" priority="4" operator="containsText" text="ADECUADO">
      <formula>NOT(ISERROR(SEARCH("ADECUADO",AG312)))</formula>
    </cfRule>
    <cfRule type="containsText" dxfId="0" priority="5" operator="containsText" text="ÓPTIMO">
      <formula>NOT(ISERROR(SEARCH("ÓPTIMO",AG312)))</formula>
    </cfRule>
  </conditionalFormatting>
  <dataValidations count="1">
    <dataValidation type="list" allowBlank="1" showInputMessage="1" showErrorMessage="1" sqref="AG5:AG185 Q174:Q185 Z186:AA188 U186:X188 AO5:AO185 Y5:Y326 Q313:Q326 AO189:AO326 Q5:Q19 Q21:Q35 Q37:Q63 Q65:Q80 Q82:Q103 Q105:Q112 Q114:Q123 Q125:Q152 Q154:Q172 Q190:Q215 Q217:Q223 Q225:Q260 Q262:Q280 Q282:Q293 Q295:Q311 AG189:AG326" xr:uid="{00000000-0002-0000-0000-000000000000}">
      <formula1>"Subestimado,Óptimo,Adecuado,Riesgo,Crítico,No Aplica"</formula1>
    </dataValidation>
  </dataValidations>
  <printOptions horizontalCentered="1"/>
  <pageMargins left="0.39370078740157483" right="0.39370078740157483" top="0.39370078740157483" bottom="0.39370078740157483" header="0.31496062992125984" footer="0.31496062992125984"/>
  <pageSetup paperSize="119" scale="48" orientation="landscape" r:id="rId4"/>
  <headerFooter scaleWithDoc="0">
    <oddFooter>&amp;C&amp;G&amp;RDPE-FT-004. V1. Página &amp;P de &amp;N</oddFooter>
  </headerFooter>
  <colBreaks count="4" manualBreakCount="4">
    <brk id="11" max="325" man="1"/>
    <brk id="19" max="325" man="1"/>
    <brk id="27" max="325" man="1"/>
    <brk id="35" max="325" man="1"/>
  </colBreaks>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heetViews>
  <sheetFormatPr baseColWidth="10" defaultRowHeight="15" x14ac:dyDescent="0.25"/>
  <cols>
    <col min="1" max="1" width="5.42578125" customWidth="1"/>
    <col min="2" max="2" width="64.140625" customWidth="1"/>
  </cols>
  <sheetData>
    <row r="2" spans="2:2" ht="63" x14ac:dyDescent="0.25">
      <c r="B2" s="59" t="s">
        <v>1563</v>
      </c>
    </row>
    <row r="3" spans="2:2" ht="78.75" x14ac:dyDescent="0.25">
      <c r="B3" s="51" t="s">
        <v>1562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Seguimiento Plan de Accion 4 TR</vt:lpstr>
      <vt:lpstr>Convenciones de color</vt:lpstr>
      <vt:lpstr>'Seguimiento Plan de Accion 4 TR'!Área_de_impresión</vt:lpstr>
      <vt:lpstr>'Seguimiento Plan de Accion 4 TR'!Títulos_a_imprimir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MEMORIA ARTE</dc:creator>
  <cp:lastModifiedBy>Yina Alejandra Fonseca Gomez</cp:lastModifiedBy>
  <cp:lastPrinted>2020-02-04T16:33:26Z</cp:lastPrinted>
  <dcterms:created xsi:type="dcterms:W3CDTF">2013-04-24T15:29:07Z</dcterms:created>
  <dcterms:modified xsi:type="dcterms:W3CDTF">2024-12-09T15:56:38Z</dcterms:modified>
</cp:coreProperties>
</file>