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yfonsecag.UBPD\Downloads\seguimientos plana de acción\2019\"/>
    </mc:Choice>
  </mc:AlternateContent>
  <xr:revisionPtr revIDLastSave="0" documentId="13_ncr:1_{EFE543FB-2857-460D-AE0E-1B33FE375711}" xr6:coauthVersionLast="47" xr6:coauthVersionMax="47" xr10:uidLastSave="{00000000-0000-0000-0000-000000000000}"/>
  <bookViews>
    <workbookView xWindow="20370" yWindow="-120" windowWidth="29040" windowHeight="15840" activeTab="1" xr2:uid="{0FF94EFD-E78E-4C83-B855-CB89620E726F}"/>
  </bookViews>
  <sheets>
    <sheet name="Convenciones y notas" sheetId="2" r:id="rId1"/>
    <sheet name="Seguimiento Plan de Accion 3 TR" sheetId="3" r:id="rId2"/>
  </sheets>
  <definedNames>
    <definedName name="_xlnm._FilterDatabase" localSheetId="1" hidden="1">'Seguimiento Plan de Accion 3 TR'!$A$4:$AL$326</definedName>
    <definedName name="_xlnm.Print_Area" localSheetId="1">'Seguimiento Plan de Accion 3 TR'!$A$1:$L$326</definedName>
    <definedName name="_xlnm.Print_Titles" localSheetId="1">'Seguimiento Plan de Accion 3 TR'!$4:$4</definedName>
    <definedName name="Z_0C4E3B15_B828_4253_80DF_1C930F5FC7EA_.wvu.FilterData" localSheetId="1" hidden="1">'Seguimiento Plan de Accion 3 TR'!$A$4:$T$326</definedName>
    <definedName name="Z_19AD3EB2_D679_48BA_A52C_94D50EAE424F_.wvu.FilterData" localSheetId="1" hidden="1">'Seguimiento Plan de Accion 3 TR'!$A$4:$T$326</definedName>
    <definedName name="Z_1F2D324F_AD71_4D3C_8E52_8D06443C5ECD_.wvu.FilterData" localSheetId="1" hidden="1">'Seguimiento Plan de Accion 3 TR'!$A$4:$T$326</definedName>
    <definedName name="Z_210C768B_38E4_4D2C_8149_F4A32F21E0EE_.wvu.Cols" localSheetId="1" hidden="1">'Seguimiento Plan de Accion 3 TR'!$K:$L</definedName>
    <definedName name="Z_210C768B_38E4_4D2C_8149_F4A32F21E0EE_.wvu.FilterData" localSheetId="1" hidden="1">'Seguimiento Plan de Accion 3 TR'!$A$4:$AL$326</definedName>
    <definedName name="Z_210C768B_38E4_4D2C_8149_F4A32F21E0EE_.wvu.PrintArea" localSheetId="1" hidden="1">'Seguimiento Plan de Accion 3 TR'!$A$1:$L$326</definedName>
    <definedName name="Z_210C768B_38E4_4D2C_8149_F4A32F21E0EE_.wvu.PrintTitles" localSheetId="1" hidden="1">'Seguimiento Plan de Accion 3 TR'!$4:$4</definedName>
    <definedName name="Z_210C768B_38E4_4D2C_8149_F4A32F21E0EE_.wvu.Rows" localSheetId="1" hidden="1">'Seguimiento Plan de Accion 3 TR'!$3:$3</definedName>
    <definedName name="Z_41BB6028_7984_42DF_9893_73ADF68B5878_.wvu.FilterData" localSheetId="1" hidden="1">'Seguimiento Plan de Accion 3 TR'!$A$4:$T$326</definedName>
    <definedName name="Z_85D7DEF3_4168_4539_9E03_35993795635A_.wvu.Cols" localSheetId="1" hidden="1">'Seguimiento Plan de Accion 3 TR'!$A:$B,'Seguimiento Plan de Accion 3 TR'!$E:$F,'Seguimiento Plan de Accion 3 TR'!$K:$L</definedName>
    <definedName name="Z_85D7DEF3_4168_4539_9E03_35993795635A_.wvu.FilterData" localSheetId="1" hidden="1">'Seguimiento Plan de Accion 3 TR'!$A$4:$T$326</definedName>
    <definedName name="Z_85D7DEF3_4168_4539_9E03_35993795635A_.wvu.PrintArea" localSheetId="1" hidden="1">'Seguimiento Plan de Accion 3 TR'!$A$1:$L$326</definedName>
    <definedName name="Z_85D7DEF3_4168_4539_9E03_35993795635A_.wvu.PrintTitles" localSheetId="1" hidden="1">'Seguimiento Plan de Accion 3 TR'!$4:$4</definedName>
    <definedName name="Z_85D7DEF3_4168_4539_9E03_35993795635A_.wvu.Rows" localSheetId="1" hidden="1">'Seguimiento Plan de Accion 3 TR'!$3:$3</definedName>
    <definedName name="Z_9DBCB782_39B5_466D_A686_EB6262D16528_.wvu.FilterData" localSheetId="1" hidden="1">'Seguimiento Plan de Accion 3 TR'!$A$4:$T$326</definedName>
    <definedName name="Z_A3F23D57_CC1E_4DF4_9DA8_CF538210FE4F_.wvu.FilterData" localSheetId="1" hidden="1">'Seguimiento Plan de Accion 3 TR'!$A$4:$T$326</definedName>
    <definedName name="Z_B854DAB7_C232_40B9_8923_BB31D3B04925_.wvu.FilterData" localSheetId="1" hidden="1">'Seguimiento Plan de Accion 3 TR'!$A$4:$T$326</definedName>
    <definedName name="Z_D7DA41A1_2E36_41DF_B1FF_4ACC1F9E5E8F_.wvu.FilterData" localSheetId="1" hidden="1">'Seguimiento Plan de Accion 3 TR'!$A$4:$T$326</definedName>
    <definedName name="Z_F3FE2E25_EE6D_4DA3_9970_2EF847DD5D8E_.wvu.FilterData" localSheetId="1" hidden="1">'Seguimiento Plan de Accion 3 TR'!$A$4:$T$326</definedName>
    <definedName name="Z_FB1E2891_2A33_44CA_9506_1229A0319D8A_.wvu.Cols" localSheetId="1" hidden="1">'Seguimiento Plan de Accion 3 TR'!$A:$C,'Seguimiento Plan de Accion 3 TR'!$F:$I,'Seguimiento Plan de Accion 3 TR'!$K:$U</definedName>
    <definedName name="Z_FB1E2891_2A33_44CA_9506_1229A0319D8A_.wvu.FilterData" localSheetId="1" hidden="1">'Seguimiento Plan de Accion 3 TR'!$A$4:$AL$326</definedName>
    <definedName name="Z_FB1E2891_2A33_44CA_9506_1229A0319D8A_.wvu.PrintArea" localSheetId="1" hidden="1">'Seguimiento Plan de Accion 3 TR'!$A$1:$L$326</definedName>
    <definedName name="Z_FB1E2891_2A33_44CA_9506_1229A0319D8A_.wvu.PrintTitles" localSheetId="1" hidden="1">'Seguimiento Plan de Accion 3 TR'!$4:$4</definedName>
    <definedName name="Z_FB1E2891_2A33_44CA_9506_1229A0319D8A_.wvu.Rows" localSheetId="1" hidden="1">'Seguimiento Plan de Accion 3 TR'!$3:$3</definedName>
    <definedName name="Z_FE9D7E1F_30D6_427C_BF8F_CF4F784BAD91_.wvu.FilterData" localSheetId="1" hidden="1">'Seguimiento Plan de Accion 3 TR'!$A$4:$T$326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 i="3" l="1"/>
  <c r="Q5" i="3"/>
  <c r="Y5" i="3"/>
  <c r="Z5" i="3"/>
  <c r="AH5" i="3"/>
  <c r="AI5" i="3"/>
  <c r="P10" i="3"/>
  <c r="Q10" i="3"/>
  <c r="Y10" i="3"/>
  <c r="Z10" i="3"/>
  <c r="AH10" i="3"/>
  <c r="AI10" i="3"/>
  <c r="P15" i="3"/>
  <c r="Q15" i="3"/>
  <c r="Y15" i="3"/>
  <c r="Z15" i="3"/>
  <c r="AH15" i="3"/>
  <c r="AI15" i="3"/>
  <c r="P21" i="3"/>
  <c r="Q21" i="3"/>
  <c r="Y21" i="3"/>
  <c r="Z21" i="3"/>
  <c r="AH21" i="3"/>
  <c r="AI21" i="3"/>
  <c r="P28" i="3"/>
  <c r="Q28" i="3"/>
  <c r="Y28" i="3"/>
  <c r="Z28" i="3"/>
  <c r="AH28" i="3"/>
  <c r="AI28" i="3"/>
  <c r="P33" i="3"/>
  <c r="Q33" i="3"/>
  <c r="Y33" i="3"/>
  <c r="Z33" i="3"/>
  <c r="AH33" i="3"/>
  <c r="AI33" i="3"/>
  <c r="P37" i="3"/>
  <c r="Y37" i="3"/>
  <c r="AH37" i="3"/>
  <c r="P45" i="3"/>
  <c r="Q45" i="3"/>
  <c r="Y45" i="3"/>
  <c r="Z45" i="3"/>
  <c r="AH45" i="3"/>
  <c r="AI45" i="3"/>
  <c r="P48" i="3"/>
  <c r="Y48" i="3"/>
  <c r="AH48" i="3"/>
  <c r="P54" i="3"/>
  <c r="Q54" i="3"/>
  <c r="Y54" i="3"/>
  <c r="Z54" i="3"/>
  <c r="AH54" i="3"/>
  <c r="AI54" i="3"/>
  <c r="P57" i="3"/>
  <c r="Q57" i="3"/>
  <c r="Y57" i="3"/>
  <c r="Z57" i="3"/>
  <c r="AH57" i="3"/>
  <c r="AI57" i="3"/>
  <c r="P60" i="3"/>
  <c r="Q60" i="3"/>
  <c r="Y60" i="3"/>
  <c r="Z60" i="3"/>
  <c r="AH60" i="3"/>
  <c r="AI60" i="3"/>
  <c r="P65" i="3"/>
  <c r="Q65" i="3"/>
  <c r="Y65" i="3"/>
  <c r="Z65" i="3"/>
  <c r="AH65" i="3"/>
  <c r="AI65" i="3"/>
  <c r="P77" i="3"/>
  <c r="Q77" i="3"/>
  <c r="Y77" i="3"/>
  <c r="Z77" i="3"/>
  <c r="AH77" i="3"/>
  <c r="AI77" i="3"/>
  <c r="P82" i="3"/>
  <c r="Y82" i="3"/>
  <c r="AH82" i="3"/>
  <c r="P89" i="3"/>
  <c r="Q89" i="3"/>
  <c r="Y89" i="3"/>
  <c r="Z89" i="3"/>
  <c r="AH89" i="3"/>
  <c r="AI89" i="3"/>
  <c r="P93" i="3"/>
  <c r="Q93" i="3"/>
  <c r="Y93" i="3"/>
  <c r="Z93" i="3"/>
  <c r="AH93" i="3"/>
  <c r="AI93" i="3"/>
  <c r="P96" i="3"/>
  <c r="Q96" i="3"/>
  <c r="Y96" i="3"/>
  <c r="Z96" i="3"/>
  <c r="AH96" i="3"/>
  <c r="AI96" i="3"/>
  <c r="P98" i="3"/>
  <c r="Q98" i="3"/>
  <c r="Y98" i="3"/>
  <c r="Z98" i="3"/>
  <c r="AH98" i="3"/>
  <c r="AI98" i="3"/>
  <c r="P105" i="3"/>
  <c r="Q105" i="3"/>
  <c r="Y105" i="3"/>
  <c r="Z105" i="3"/>
  <c r="AH105" i="3"/>
  <c r="AI105" i="3"/>
  <c r="P109" i="3"/>
  <c r="Q109" i="3"/>
  <c r="Y109" i="3"/>
  <c r="Z109" i="3"/>
  <c r="AH109" i="3"/>
  <c r="AI109" i="3"/>
  <c r="P114" i="3"/>
  <c r="Q114" i="3"/>
  <c r="Y114" i="3"/>
  <c r="Z114" i="3"/>
  <c r="AH114" i="3"/>
  <c r="AI114" i="3"/>
  <c r="P125" i="3"/>
  <c r="Q125" i="3"/>
  <c r="Y125" i="3"/>
  <c r="Z125" i="3"/>
  <c r="AH125" i="3"/>
  <c r="AI125" i="3"/>
  <c r="P129" i="3"/>
  <c r="Q129" i="3"/>
  <c r="Y129" i="3"/>
  <c r="Z129" i="3"/>
  <c r="AH129" i="3"/>
  <c r="AI129" i="3"/>
  <c r="P132" i="3"/>
  <c r="Q132" i="3"/>
  <c r="Y132" i="3"/>
  <c r="Z132" i="3"/>
  <c r="AH132" i="3"/>
  <c r="AI132" i="3"/>
  <c r="P136" i="3"/>
  <c r="Q136" i="3"/>
  <c r="Y136" i="3"/>
  <c r="Z136" i="3"/>
  <c r="AH136" i="3"/>
  <c r="AI136" i="3"/>
  <c r="P143" i="3"/>
  <c r="Q143" i="3"/>
  <c r="Y143" i="3"/>
  <c r="Z143" i="3"/>
  <c r="AH143" i="3"/>
  <c r="AI143" i="3"/>
  <c r="P146" i="3"/>
  <c r="Q146" i="3"/>
  <c r="Y146" i="3"/>
  <c r="Z146" i="3"/>
  <c r="AH146" i="3"/>
  <c r="AI146" i="3"/>
  <c r="P149" i="3"/>
  <c r="Q149" i="3"/>
  <c r="Y149" i="3"/>
  <c r="Z149" i="3"/>
  <c r="AH149" i="3"/>
  <c r="AI149" i="3"/>
  <c r="P151" i="3"/>
  <c r="Q151" i="3"/>
  <c r="Y151" i="3"/>
  <c r="Z151" i="3"/>
  <c r="AH151" i="3"/>
  <c r="AI151" i="3"/>
  <c r="P154" i="3"/>
  <c r="Q154" i="3"/>
  <c r="Y154" i="3"/>
  <c r="Z154" i="3"/>
  <c r="AH154" i="3"/>
  <c r="AI154" i="3"/>
  <c r="P157" i="3"/>
  <c r="Q157" i="3"/>
  <c r="Y157" i="3"/>
  <c r="Z157" i="3"/>
  <c r="AH157" i="3"/>
  <c r="AI157" i="3"/>
  <c r="P159" i="3"/>
  <c r="Q159" i="3"/>
  <c r="Y159" i="3"/>
  <c r="Z159" i="3"/>
  <c r="AH159" i="3"/>
  <c r="AI159" i="3"/>
  <c r="P165" i="3"/>
  <c r="Q165" i="3"/>
  <c r="Y165" i="3"/>
  <c r="Z165" i="3"/>
  <c r="AH165" i="3"/>
  <c r="AI165" i="3"/>
  <c r="P169" i="3"/>
  <c r="Q169" i="3"/>
  <c r="Y169" i="3"/>
  <c r="Z169" i="3"/>
  <c r="AH169" i="3"/>
  <c r="AI169" i="3"/>
  <c r="P171" i="3"/>
  <c r="Q171" i="3"/>
  <c r="Y171" i="3"/>
  <c r="Z171" i="3"/>
  <c r="AH171" i="3"/>
  <c r="AI171" i="3"/>
  <c r="P174" i="3"/>
  <c r="Q174" i="3"/>
  <c r="Y174" i="3"/>
  <c r="Z174" i="3"/>
  <c r="AH174" i="3"/>
  <c r="AI174" i="3"/>
  <c r="P180" i="3"/>
  <c r="Q180" i="3"/>
  <c r="Y180" i="3"/>
  <c r="Z180" i="3"/>
  <c r="AH180" i="3"/>
  <c r="AI180" i="3"/>
  <c r="AH186" i="3"/>
  <c r="AI186" i="3"/>
  <c r="P190" i="3"/>
  <c r="Y190" i="3"/>
  <c r="AH190" i="3"/>
  <c r="P208" i="3"/>
  <c r="Q208" i="3"/>
  <c r="Y208" i="3"/>
  <c r="Z208" i="3"/>
  <c r="AH208" i="3"/>
  <c r="AI208" i="3"/>
  <c r="P213" i="3"/>
  <c r="Q213" i="3"/>
  <c r="Y213" i="3"/>
  <c r="Z213" i="3"/>
  <c r="AH213" i="3"/>
  <c r="AI213" i="3"/>
  <c r="P217" i="3"/>
  <c r="Q217" i="3"/>
  <c r="Y217" i="3"/>
  <c r="Z217" i="3"/>
  <c r="AH217" i="3"/>
  <c r="AI217" i="3"/>
  <c r="P225" i="3"/>
  <c r="Q225" i="3"/>
  <c r="Y225" i="3"/>
  <c r="Z225" i="3"/>
  <c r="AH225" i="3"/>
  <c r="AI225" i="3"/>
  <c r="P231" i="3"/>
  <c r="Q231" i="3"/>
  <c r="Y231" i="3"/>
  <c r="Z231" i="3"/>
  <c r="AH231" i="3"/>
  <c r="AI231" i="3"/>
  <c r="P236" i="3"/>
  <c r="Q236" i="3"/>
  <c r="Y236" i="3"/>
  <c r="Z236" i="3"/>
  <c r="AH236" i="3"/>
  <c r="AI236" i="3"/>
  <c r="P242" i="3"/>
  <c r="Q242" i="3"/>
  <c r="Y242" i="3"/>
  <c r="Z242" i="3"/>
  <c r="AH242" i="3"/>
  <c r="AI242" i="3"/>
  <c r="P249" i="3"/>
  <c r="Q249" i="3"/>
  <c r="Y249" i="3"/>
  <c r="Z249" i="3"/>
  <c r="AH249" i="3"/>
  <c r="AI249" i="3"/>
  <c r="P256" i="3"/>
  <c r="Q256" i="3"/>
  <c r="Y256" i="3"/>
  <c r="Z256" i="3"/>
  <c r="AH256" i="3"/>
  <c r="AI256" i="3"/>
  <c r="P262" i="3"/>
  <c r="Q262" i="3"/>
  <c r="Y262" i="3"/>
  <c r="Z262" i="3"/>
  <c r="AH262" i="3"/>
  <c r="AI262" i="3"/>
  <c r="P268" i="3"/>
  <c r="Q268" i="3"/>
  <c r="Y268" i="3"/>
  <c r="Z268" i="3"/>
  <c r="AH268" i="3"/>
  <c r="AI268" i="3"/>
  <c r="P270" i="3"/>
  <c r="Q270" i="3"/>
  <c r="Y270" i="3"/>
  <c r="Z270" i="3"/>
  <c r="AH270" i="3"/>
  <c r="AI270" i="3"/>
  <c r="P272" i="3"/>
  <c r="Q272" i="3"/>
  <c r="Y272" i="3"/>
  <c r="Z272" i="3"/>
  <c r="AH272" i="3"/>
  <c r="AI272" i="3"/>
  <c r="P274" i="3"/>
  <c r="Q274" i="3"/>
  <c r="Y274" i="3"/>
  <c r="Z274" i="3"/>
  <c r="AH274" i="3"/>
  <c r="AI274" i="3"/>
  <c r="P278" i="3"/>
  <c r="Q278" i="3"/>
  <c r="Y278" i="3"/>
  <c r="Z278" i="3"/>
  <c r="AH278" i="3"/>
  <c r="AI278" i="3"/>
  <c r="P282" i="3"/>
  <c r="Q282" i="3"/>
  <c r="Y282" i="3"/>
  <c r="Z282" i="3"/>
  <c r="AH282" i="3"/>
  <c r="AI282" i="3"/>
  <c r="P285" i="3"/>
  <c r="Q285" i="3"/>
  <c r="Y285" i="3"/>
  <c r="Z285" i="3"/>
  <c r="AH285" i="3"/>
  <c r="AI285" i="3"/>
  <c r="P288" i="3"/>
  <c r="Y288" i="3"/>
  <c r="AH288" i="3"/>
  <c r="P291" i="3"/>
  <c r="Q291" i="3"/>
  <c r="Y291" i="3"/>
  <c r="Z291" i="3"/>
  <c r="AH291" i="3"/>
  <c r="AI291" i="3"/>
  <c r="P295" i="3"/>
  <c r="Y295" i="3"/>
  <c r="AH295" i="3"/>
  <c r="P299" i="3"/>
  <c r="Y299" i="3"/>
  <c r="AH299" i="3"/>
  <c r="P301" i="3"/>
  <c r="Q301" i="3"/>
  <c r="Y301" i="3"/>
  <c r="Z301" i="3"/>
  <c r="AH301" i="3"/>
  <c r="AI301" i="3"/>
  <c r="P307" i="3"/>
  <c r="Q307" i="3"/>
  <c r="Y307" i="3"/>
  <c r="Z307" i="3"/>
  <c r="AH307" i="3"/>
  <c r="AI307" i="3"/>
  <c r="P309" i="3"/>
  <c r="Q309" i="3"/>
  <c r="Y309" i="3"/>
  <c r="Z309" i="3"/>
  <c r="AH309" i="3"/>
  <c r="AI309" i="3"/>
  <c r="P313" i="3"/>
  <c r="Y313" i="3"/>
  <c r="AH313" i="3"/>
  <c r="P315" i="3"/>
  <c r="Q315" i="3"/>
  <c r="Y315" i="3"/>
  <c r="Z315" i="3"/>
  <c r="AH315" i="3"/>
  <c r="AI315" i="3"/>
  <c r="P317" i="3"/>
  <c r="Q317" i="3"/>
  <c r="Y317" i="3"/>
  <c r="Z317" i="3"/>
  <c r="AH317" i="3"/>
  <c r="AI317" i="3"/>
  <c r="P320" i="3"/>
  <c r="Q320" i="3"/>
  <c r="Y320" i="3"/>
  <c r="Z320" i="3"/>
  <c r="AH320" i="3"/>
  <c r="AI320" i="3"/>
  <c r="P322" i="3"/>
  <c r="Q322" i="3"/>
  <c r="Y322" i="3"/>
  <c r="Z322" i="3"/>
  <c r="AH322" i="3"/>
  <c r="AI322" i="3"/>
  <c r="P324" i="3"/>
  <c r="Q324" i="3"/>
  <c r="Y324" i="3"/>
  <c r="Z324" i="3"/>
  <c r="AH324" i="3"/>
  <c r="AI32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cristian leonardo mendez ruiz</author>
    <author>Tatiana Rodríguez Maldonado</author>
  </authors>
  <commentList>
    <comment ref="Y60" authorId="0" shapeId="0" xr:uid="{F0FDD3E7-A33D-49BE-BB2E-67F7CE66BC1D}">
      <text>
        <r>
          <rPr>
            <b/>
            <sz val="9"/>
            <color indexed="81"/>
            <rFont val="Tahoma"/>
            <family val="2"/>
          </rPr>
          <t xml:space="preserve">Victoria Temprana
</t>
        </r>
      </text>
    </comment>
    <comment ref="AH60" authorId="0" shapeId="0" xr:uid="{9C916EBF-DC9A-4BF3-8BC2-F8D74801D77F}">
      <text>
        <r>
          <rPr>
            <b/>
            <sz val="9"/>
            <color indexed="81"/>
            <rFont val="Tahoma"/>
            <family val="2"/>
          </rPr>
          <t xml:space="preserve">Victoria Temprana el 2do trimestre
</t>
        </r>
      </text>
    </comment>
    <comment ref="Y129" authorId="0" shapeId="0" xr:uid="{076E7B5A-8A09-49EF-BCCF-1BD3FB148876}">
      <text>
        <r>
          <rPr>
            <b/>
            <sz val="9"/>
            <color indexed="81"/>
            <rFont val="Tahoma"/>
            <family val="2"/>
          </rPr>
          <t>Victoria Temprana</t>
        </r>
      </text>
    </comment>
    <comment ref="AH165" authorId="1" shapeId="0" xr:uid="{71C356F9-4E60-4285-B02C-F2224D4DD15A}">
      <text>
        <r>
          <rPr>
            <sz val="9"/>
            <color indexed="81"/>
            <rFont val="Tahoma"/>
            <family val="2"/>
          </rPr>
          <t>Victoria temprana.</t>
        </r>
      </text>
    </comment>
    <comment ref="AH270" authorId="0" shapeId="0" xr:uid="{7B8E9564-83F8-4F30-A946-8E332C80D0D8}">
      <text>
        <r>
          <rPr>
            <b/>
            <sz val="9"/>
            <color indexed="81"/>
            <rFont val="Tahoma"/>
            <family val="2"/>
          </rPr>
          <t>Victoria Temprana</t>
        </r>
      </text>
    </comment>
  </commentList>
</comments>
</file>

<file path=xl/sharedStrings.xml><?xml version="1.0" encoding="utf-8"?>
<sst xmlns="http://schemas.openxmlformats.org/spreadsheetml/2006/main" count="2810" uniqueCount="1454">
  <si>
    <t>PLAN DE ACCIÓN 2019</t>
  </si>
  <si>
    <t>OBJETIVO ESTRATÉGICO</t>
  </si>
  <si>
    <t>AREA DE EFECTIVIDAD</t>
  </si>
  <si>
    <t>Consecutivo indicador</t>
  </si>
  <si>
    <t>NOMBRE DEL INDICADOR</t>
  </si>
  <si>
    <t>LÍNEA BASE</t>
  </si>
  <si>
    <t>ESTRATEGIA</t>
  </si>
  <si>
    <t>ACTIVIDADES (ACCIONES CLAVES)</t>
  </si>
  <si>
    <t>FECHA DE INICIO
(DD-MM-AAAA)</t>
  </si>
  <si>
    <t>FECHA DE TERMINACIÓN
(DD-MM-AAAA)</t>
  </si>
  <si>
    <t>RESPONSABLE</t>
  </si>
  <si>
    <t>PROCESO</t>
  </si>
  <si>
    <t>POLÍTICA
DE GESTIÓN Y DESEMPEÑO</t>
  </si>
  <si>
    <t>META ANUAL 2019</t>
  </si>
  <si>
    <t>Establecer una efectiva coordinación interinstitucional y con organizaciones de la sociedad civil, a fin de implementar acciones humanitarias y extrajudiciales de búsqueda de personas dadas por desaparecidas</t>
  </si>
  <si>
    <t>Disponibilidad de recursos técnicos y financieros</t>
  </si>
  <si>
    <t>01</t>
  </si>
  <si>
    <t>No. de proyectos de cooperación internacional aprobados.</t>
  </si>
  <si>
    <t>1 Proyecto de cooperación Internacional aprobado durante el último trimestre de 2018</t>
  </si>
  <si>
    <t xml:space="preserve">Estrategia de Cooperación Internacional </t>
  </si>
  <si>
    <t>Diagnosticar fuentes y políticas de cooperación internacional para Colombia para la Implementación de los Acuerdos de Paz</t>
  </si>
  <si>
    <t>Cooperación internacional</t>
  </si>
  <si>
    <t>Cooperación internacional y alianzas</t>
  </si>
  <si>
    <t>Política de Planeación institucional</t>
  </si>
  <si>
    <t>3 proyectos de cooperación financiera aprobados a diciembre de 2019</t>
  </si>
  <si>
    <t>Definir la estrategia de cooperación internacional de la UBPD</t>
  </si>
  <si>
    <t>Realizar acompañamiento para la formulación de proyectos a los equipos técnicos de la UBPD</t>
  </si>
  <si>
    <t xml:space="preserve">Presentar los proyectos </t>
  </si>
  <si>
    <t>Firmar convenios y acuerdos de cooperación financiera o técnica</t>
  </si>
  <si>
    <t>02</t>
  </si>
  <si>
    <t>No. de acuerdos de cooperación técnica suscritos.</t>
  </si>
  <si>
    <t xml:space="preserve">Plan de posicionamiento internacional </t>
  </si>
  <si>
    <t>Realizar mapeo de actores y alianzas internacionales</t>
  </si>
  <si>
    <t xml:space="preserve">4 acuerdos de cooperación técnica suscritos </t>
  </si>
  <si>
    <t>Realizar giras internacionales para presentar la UBPD.</t>
  </si>
  <si>
    <t>31/09/2019</t>
  </si>
  <si>
    <t>Realizar seguimiento de los compromisos adquiridos durante las giras.</t>
  </si>
  <si>
    <t>Conformación de un Comité Internacional de apoyo a la UBPD</t>
  </si>
  <si>
    <t>Realizar firmas de memorandum o acuerdos de entendimiento para asistencia técnica con organismos internacionales.</t>
  </si>
  <si>
    <t>Lograr una efectiva gestión institucional que promueva el cumplimiento del mandato misional a través del desarrollo de procesos eficientes, transparentes y oportunos</t>
  </si>
  <si>
    <t>Eficiencia de proyectos de cooperación</t>
  </si>
  <si>
    <t>03</t>
  </si>
  <si>
    <t>Ejecución presupuestal de proyectos de cooperación.</t>
  </si>
  <si>
    <t>40% de los recursos de cooperación internacional ejecutados al finalizar 2018</t>
  </si>
  <si>
    <t>Sistema de seguimiento, monitoreo y evaluación de proyectos implementado</t>
  </si>
  <si>
    <t xml:space="preserve">Identificar herramientas de seguimiento y evaluación de proyectos </t>
  </si>
  <si>
    <t>80% de los recursos de cooperación internacional ejecutados al finalizar 2019</t>
  </si>
  <si>
    <t>Implementar de herramientas de seguimiento y evaluación de proyectos</t>
  </si>
  <si>
    <t>Presentar de informes narrativos y financieros de proyecto</t>
  </si>
  <si>
    <t>Crear de un sistema de alertas y propuestas de ajuste presupuestal o programático por proyecto</t>
  </si>
  <si>
    <t>Realizar seguimiento a la implementación de propuestas de ajuste</t>
  </si>
  <si>
    <t>-</t>
  </si>
  <si>
    <t>Consolidar metodologías de búsqueda humanitaria y extrajudicial de personas dadas por desaparecidas para el Estado colombiano, incorporando enfoques territorial, diferencial, étnico y de género</t>
  </si>
  <si>
    <t>Disponibilidad de conocimiento y buenas prácticas</t>
  </si>
  <si>
    <t>04</t>
  </si>
  <si>
    <t>% de ejecución del plan de estudios e investigaciones.</t>
  </si>
  <si>
    <t xml:space="preserve"> Necesidades de estudios e investigaciones con mirada transversal en la UBPD</t>
  </si>
  <si>
    <t>Elaborar instrumento para identificar necesidades</t>
  </si>
  <si>
    <t>Oficina de Gestión del Conocimiento</t>
  </si>
  <si>
    <t>Gestión del Conocimiento</t>
  </si>
  <si>
    <t>Política de gestión del conocimiento y la innovación</t>
  </si>
  <si>
    <t>100% de ejecución del plan de estudios e investigaciones</t>
  </si>
  <si>
    <t xml:space="preserve">Implementar el instrumento </t>
  </si>
  <si>
    <t>Identificar métodos de análisis y herramientas a utilizar por estudio</t>
  </si>
  <si>
    <t xml:space="preserve">Plan de trabajo por investigación/estudio </t>
  </si>
  <si>
    <t>Elaborar plan de trabajo detallado por estudio</t>
  </si>
  <si>
    <t>Desarrollar los planes de trabajo por estudios</t>
  </si>
  <si>
    <t>Realizar discusión sobre los resultados de los estudios</t>
  </si>
  <si>
    <t>Hacer seguimiento a los planes detallados de estudio</t>
  </si>
  <si>
    <t>Fortalecimiento del conocimiento en la UBPD</t>
  </si>
  <si>
    <t>05</t>
  </si>
  <si>
    <t>No. de soluciones a obstáculos y riesgos de gestión de conocimiento identificados.</t>
  </si>
  <si>
    <t>Diseño de la estrategia de gestión de conocimiento</t>
  </si>
  <si>
    <t>Socializar la importancia de las acciones de gestión conocimiento</t>
  </si>
  <si>
    <t>2 soluciones a obstáculos y riesgos de gestión de conocimiento identificados</t>
  </si>
  <si>
    <t>No aplica</t>
  </si>
  <si>
    <t>Diagnóstico del proceso de creación, circulación, uso y apropiación del conocimiento de la UBPD</t>
  </si>
  <si>
    <t>implementación de soluciones propuestas a obstáculos identificados</t>
  </si>
  <si>
    <t>Diseñar la Estrategia de Gestión de Conocimiento</t>
  </si>
  <si>
    <t>Diseño del plan de acción para 2020</t>
  </si>
  <si>
    <t>06</t>
  </si>
  <si>
    <t>% de herramientas para la creación, el flujo, la apropiación y el uso del conocimiento en la UBPD, implementadas.</t>
  </si>
  <si>
    <t>Prácticas de gestión del conocimiento implementadas</t>
  </si>
  <si>
    <t>Identificación de Prácticas de gestión del conocimiento útiles para la UBPD</t>
  </si>
  <si>
    <t>100% de herramientas para la creación, el flujo, la apropiación y el uso del conocimiento en la UBPD, implementadas</t>
  </si>
  <si>
    <t>Gestionar Prácticas de conocimiento</t>
  </si>
  <si>
    <t>Evaluar las prácticas de gestión del conocimiento</t>
  </si>
  <si>
    <t>Productividad digital</t>
  </si>
  <si>
    <t>07</t>
  </si>
  <si>
    <t>% de servidores de la Unidad que utiliza herramientas colaborativas.</t>
  </si>
  <si>
    <t>El 75,7% de los servidores públicos vinculados a diciembre de 2018 hacen uso de las herramientas colaborativas</t>
  </si>
  <si>
    <t>Plan para uso y apropiación de herramientas colaborativas</t>
  </si>
  <si>
    <t>Desarrollar habilidades para el uso de herramientas colaborativas</t>
  </si>
  <si>
    <t>Oficina de Tecnologías de la Información y las Comunicaciones</t>
  </si>
  <si>
    <t>Gestión de Tecnologías de la Información y Comunicaciones</t>
  </si>
  <si>
    <t>Política de Gobierno Digital, antes Gobierno en Línea</t>
  </si>
  <si>
    <t>El 70% de los servidores públicos hacen uso de las herramientas colaborativas</t>
  </si>
  <si>
    <t>Realizar Talleres</t>
  </si>
  <si>
    <t>Socializar beneficios</t>
  </si>
  <si>
    <t>Socializar avance y casos de éxito</t>
  </si>
  <si>
    <t>Medir avance</t>
  </si>
  <si>
    <t xml:space="preserve">Mesa de trabajo con otras dependencias para impulsar el uso y apropiación </t>
  </si>
  <si>
    <t>Establecer mesa de trabajo con oficinas de Planeación, Gestión de Conocimiento y Gestión Humana</t>
  </si>
  <si>
    <t>Identificar puntos de encuentro (eficiencia)</t>
  </si>
  <si>
    <t>Identificar campos de acción y responsables</t>
  </si>
  <si>
    <t>Seguridad informática</t>
  </si>
  <si>
    <t>08</t>
  </si>
  <si>
    <t>% activos de información asegurados.</t>
  </si>
  <si>
    <t>Marco de referencia y buenas prácticas</t>
  </si>
  <si>
    <t>Establecer marco de referencia</t>
  </si>
  <si>
    <t xml:space="preserve">Política de Seguridad Digital </t>
  </si>
  <si>
    <t>100% de activos de información críticos asegurados</t>
  </si>
  <si>
    <t xml:space="preserve">Elaborar plan seguridad informática </t>
  </si>
  <si>
    <t xml:space="preserve">Implementar plan seguridad informática </t>
  </si>
  <si>
    <t>Disponibilidad de servicios TI</t>
  </si>
  <si>
    <t>09</t>
  </si>
  <si>
    <t>% de disponibilidad de servicios TI.</t>
  </si>
  <si>
    <t>Servicios apoyados en tecnologías de la información y comunicaciones</t>
  </si>
  <si>
    <t>Identificar servicios de TI requeridos</t>
  </si>
  <si>
    <t xml:space="preserve"> Política de Gobierno Digital, antes Gobierno en Línea
 </t>
  </si>
  <si>
    <t>97% de disponibilidad</t>
  </si>
  <si>
    <t>Realizar estudios técnicos</t>
  </si>
  <si>
    <t>Elaborar plan de necesidades</t>
  </si>
  <si>
    <t>Establecer prioridades</t>
  </si>
  <si>
    <t>Elaborar plan de adquisiciones</t>
  </si>
  <si>
    <t>Ejecutar, supervisar y monitorear prestación de servicios</t>
  </si>
  <si>
    <t>Estrategia y Gobierno de TI efectivo</t>
  </si>
  <si>
    <t>% de procedimientos de TI apoyados en buenas prácticas.</t>
  </si>
  <si>
    <t>Identificar necesidades</t>
  </si>
  <si>
    <t xml:space="preserve"> Política de Gobierno Digital, antes Gobierno en Línea</t>
  </si>
  <si>
    <t>100% de procedimientos definidos aplican buenas prácticas</t>
  </si>
  <si>
    <t>Identificar líneas estratégicas</t>
  </si>
  <si>
    <t>Establecer principios de uso de TIC.</t>
  </si>
  <si>
    <t>Número de Fases del plan de implementación.TI ejecutadas</t>
  </si>
  <si>
    <t>Plan de implementación modelo de estrategia y gobierno de TI</t>
  </si>
  <si>
    <t>Elaborar plan de implementación por fases</t>
  </si>
  <si>
    <t>1era Fase del plan de implementación TI ejecutada</t>
  </si>
  <si>
    <t>Implementar primera fase del plan</t>
  </si>
  <si>
    <t>Elaborar el PETI</t>
  </si>
  <si>
    <t xml:space="preserve">Nuevas tecnologías de información </t>
  </si>
  <si>
    <t>No. de herramientas probadas.</t>
  </si>
  <si>
    <t>Pruebas de concepto de herramientas para apoyar las metodologías de búsqueda</t>
  </si>
  <si>
    <t>Identificar necesidades de captura, procesamiento y análisis de información</t>
  </si>
  <si>
    <t>2 herramientas de apoyo a la gestión de información identificadas y probadas</t>
  </si>
  <si>
    <t>Diseñar y ejecutar pruebas de concepto</t>
  </si>
  <si>
    <t>Analizar resultados</t>
  </si>
  <si>
    <t>Seleccionar herramientas</t>
  </si>
  <si>
    <t>Consolidar procesos participativos de búsqueda de personas desaparecidas, reconociendo las capacidades y necesidades de las víctimas, sus organizaciones y los pueblos étnicos</t>
  </si>
  <si>
    <t>Efectiva Comunicación estratégica y pedagogía</t>
  </si>
  <si>
    <t>No. de acciones de Pedagogía y Comunicación Estratégica externa.</t>
  </si>
  <si>
    <t>Plan Estratégico de Comunicaciones y Pedagogía</t>
  </si>
  <si>
    <t>Construir la Política Institucional de Comunicaciones y Pedagogía</t>
  </si>
  <si>
    <t>Oficina Asesora de Comunicaciones y Pedagogía</t>
  </si>
  <si>
    <t>Comunicación estratégica y pedagogía</t>
  </si>
  <si>
    <t xml:space="preserve"> - Política de Control Interno - Información y Comunicación
-   Política de Transparencia, acceso a la información pública y lucha contra la corrupción </t>
  </si>
  <si>
    <t>85 acciones de pedagogía y comunicación estratégica externa</t>
  </si>
  <si>
    <t>Desarrollar contenidos pedagógicos y comunicativos con las diferentes dependencias de la UBPD y difundirlos con público externo.</t>
  </si>
  <si>
    <t xml:space="preserve">Realizar periódicamente el Plan de Contenidos de la UBPD </t>
  </si>
  <si>
    <t>Implementar la estrategia círculo de saberes creativos (Elaboración del documento, desarrollo de los encuentros con familiares y organizaciones, construcción de productos pedagógicos, elaboración del Micrositio, realización del Encuentro de Intercambio Territorial).</t>
  </si>
  <si>
    <t>Desarrollar los contenidos, diseñar, diagramar, imprimir y difundir las piezas impresas de la Oficina Asesora de Comunicaciones y Pedagogía.</t>
  </si>
  <si>
    <t xml:space="preserve">Producir, postproducir, distribuir y difundir las piezas pedagógicas y comunicativas de la estrategia de sensibilización y movilización en radio y televisión, nacional y digital. </t>
  </si>
  <si>
    <t xml:space="preserve">Gestionar, publicar y divulgar la información mínima requerida de la Entidad de acuerdo a los estándares de Transparencia y Acceso a la Información que establece la norma y lo relacionado con la rendición de cuantas </t>
  </si>
  <si>
    <t>Construir e implementar la Estrategia de Comunicación y Pedagogía Digital.</t>
  </si>
  <si>
    <t xml:space="preserve">Realizar estrategias que incidan en la movilización de líderes de opinión, políticos y personajes públicos, alrededor de la búsqueda de desaparecidos. </t>
  </si>
  <si>
    <t xml:space="preserve">Gestionar acercamientos y espacios con medios y periodistas con el fin de posicionar, visibilizar y hacer pedagogía del proceso de búsqueda humanitaria y extrajudicial que adelanta la UBPD. </t>
  </si>
  <si>
    <t>Realizar el monitoreo y análisis del impacto de las acciones de pedagogía y comunicación estratégíca en medios y en redes sociales</t>
  </si>
  <si>
    <t>No. de herramientas de comunicación interna</t>
  </si>
  <si>
    <t>Estrategia de Cultura Institucional</t>
  </si>
  <si>
    <t>Desarrollar contenidos pedagógicos y comunicativos con las diferentes dependencias de la UBPD y difundirlos con el público interno.</t>
  </si>
  <si>
    <t>Control Interno - Información y Comunicación</t>
  </si>
  <si>
    <t>4 herramientas de comunicación interna</t>
  </si>
  <si>
    <t>Construir y socializar periódicamente el boletín interno</t>
  </si>
  <si>
    <t>Instalar y actualizar periódicamente la cartelera de las sedes de la UBPD</t>
  </si>
  <si>
    <t xml:space="preserve">Compartir periódicamente información de interés para los servidores de la UBPD a través del correo electrónico. </t>
  </si>
  <si>
    <t>Contribuir a la satisfacción de los derechos a la verdad y a la reparación de las víctimas, a través de la búsqueda, localización y, en los casos que sea posible, la recuperación, identificación y entrega digna o reencuentro</t>
  </si>
  <si>
    <t>Herramientas de Planeación disponibles</t>
  </si>
  <si>
    <t>Metas del plan de acción cumplidas</t>
  </si>
  <si>
    <t>117% de cumplimiento de las metas de la UBPD programadas en el plan de acción 2018</t>
  </si>
  <si>
    <t>Sistema de seguimiento y evaluación de objetivos</t>
  </si>
  <si>
    <t>Diseñar sistema de seguimiento y evaluación</t>
  </si>
  <si>
    <t>Oficina Asesora de Planeación</t>
  </si>
  <si>
    <t>Direccionamiento y Planeación Estratégica</t>
  </si>
  <si>
    <t>Política de Seguimiento y evaluación del desempeño institucional</t>
  </si>
  <si>
    <t>90% de las metas del plan de acción cumplidas durante el 2019</t>
  </si>
  <si>
    <t>Implementar sistema de seguimiento y evaluación</t>
  </si>
  <si>
    <t>Presentar alertas, propuestas de acciones de mejora e informes.</t>
  </si>
  <si>
    <t>Realizar el seguimiento a las acciones de mejora</t>
  </si>
  <si>
    <t>Evaluar los mecanismos adoptados</t>
  </si>
  <si>
    <t>Acompañamiento técnico en la formulación de planes.</t>
  </si>
  <si>
    <t>Diseñar metodología para la elaboración de planes</t>
  </si>
  <si>
    <t>Realizar acompañamiento en la formulación de planes</t>
  </si>
  <si>
    <t>Sistema de Gestión implementado</t>
  </si>
  <si>
    <t>Sistema de gestión diseñado e implementado</t>
  </si>
  <si>
    <t>Plan de trabajo</t>
  </si>
  <si>
    <t>Elaborar los procesos, procedimientos y demás documentos de sistema de gestión de la UBPD</t>
  </si>
  <si>
    <t xml:space="preserve"> Política de Fortalecimiento organizacional y simplificación de procesos</t>
  </si>
  <si>
    <t>50% del sistema de gestión diseñado e implementado en el 2019</t>
  </si>
  <si>
    <t>Socializar el sistema de gestión para su implementación</t>
  </si>
  <si>
    <t>Brindar acompañamiento a las áreas internas en la identificación de acciones para dar cumplimiento a las políticas de gestión y desempeño que sean aplicables a la entidad.</t>
  </si>
  <si>
    <t>Implementar acciones que permitan dar cumplimiento a las políticas lideradas por la Oficina Asesora de Planeación</t>
  </si>
  <si>
    <t xml:space="preserve"> Proyectos de inversión</t>
  </si>
  <si>
    <t>Proyectos de Inversión aprobados</t>
  </si>
  <si>
    <t>Acompañamiento técnico en la aprobación de proyectos de inversión</t>
  </si>
  <si>
    <t>Realizar la socialización de la metodología</t>
  </si>
  <si>
    <t xml:space="preserve">2 proyectos de inversión aprobados </t>
  </si>
  <si>
    <t>Actualizar los proyectos de inversión de acuerdo al Decreto de liquidación</t>
  </si>
  <si>
    <t>Presentar proyectos al Departamento Nacional de Planeación y el Ministerio de Hacienda y Crédito Público.</t>
  </si>
  <si>
    <t xml:space="preserve">% de ejecución en los proyectos de Inversión </t>
  </si>
  <si>
    <t xml:space="preserve">Acompañar la programación de recursos en los proyectos de inversión </t>
  </si>
  <si>
    <t>Política de Gestión Presupuestal y Eficiencia del Gasto Público</t>
  </si>
  <si>
    <t>90% de la ejecución presupuestal de los recursos de Inversión</t>
  </si>
  <si>
    <t>Revisar la ejecución de recursos y el cumplimiento de metas para generar las alertas correspondientes al avance presentado.</t>
  </si>
  <si>
    <t>Transparencia institucional</t>
  </si>
  <si>
    <t>% de instrumentos de rendición de cuentas implementados</t>
  </si>
  <si>
    <t>Mecanismos de obtención de información actualizada</t>
  </si>
  <si>
    <t>Diseñar los mecanismos de obtención de información</t>
  </si>
  <si>
    <t xml:space="preserve">Política de Integridad - Plan Anticorrupción y de Atención al Ciudadano </t>
  </si>
  <si>
    <t>100% instrumentos implementados en el 2019</t>
  </si>
  <si>
    <t>Implementar los mecanismos de obtención de Información.</t>
  </si>
  <si>
    <t>Metodología de rendición de cuentas</t>
  </si>
  <si>
    <t>Diseñar de la estrategia de rendición de cuentas.</t>
  </si>
  <si>
    <t>Elaborar una estrategia de incentivos que permita fortalecer la cultura de la rendición de cuentas entre los servidores de la UBPD, la ciudadanía y los familiares que hagan parte de los grupos de interés.</t>
  </si>
  <si>
    <t>Implementar la estrategia de rendición de cuentas para la vigencia.</t>
  </si>
  <si>
    <t>Realizar el seguimiento y evaluación sobre lo previsto para la vigencia.</t>
  </si>
  <si>
    <t>Sistema de Control Interno implementado</t>
  </si>
  <si>
    <t>% de avance en el diseño e implementación del Sistema de Control Interno.</t>
  </si>
  <si>
    <t xml:space="preserve">Realizar seguimiento cuatrimestral a mapa de riesgos de corrupción e institucional y efectividad de los controles. </t>
  </si>
  <si>
    <t>Oficina de Control Interno</t>
  </si>
  <si>
    <t>Política de control interno</t>
  </si>
  <si>
    <t>100% de avance en el seguimiento de la implementación del Sistema de Control Interno</t>
  </si>
  <si>
    <t>Realizar campañas de sensibilización sobre el fomento del autocontrol</t>
  </si>
  <si>
    <t xml:space="preserve">Asesorar la formulación y seguimiento de planes de mejoramiento a las áreas. </t>
  </si>
  <si>
    <t xml:space="preserve">Evaluar las dependencias en la implementación del sistema. </t>
  </si>
  <si>
    <t xml:space="preserve">Evaluación Independiente y seguimiento a la Gestión de la Entidad. </t>
  </si>
  <si>
    <t>% de avance en la implementación del Plan anual de auditorías.</t>
  </si>
  <si>
    <t>Plan anual de auditorías y seguimiento</t>
  </si>
  <si>
    <t>Realizar evaluación al Modelo de Gestión y Desempeño adoptado por la UBPD.</t>
  </si>
  <si>
    <t xml:space="preserve"> 100 % de la implementación del Plan anual de auditorías</t>
  </si>
  <si>
    <t xml:space="preserve">Realizar las auditorías de gestión </t>
  </si>
  <si>
    <t xml:space="preserve">Realizar los seguimientos de ley </t>
  </si>
  <si>
    <t>Presentar informes de ley, competencia de la Oficina de Control Interno</t>
  </si>
  <si>
    <t>Documento de política de prevención del daño antijurídico realizado.</t>
  </si>
  <si>
    <t>Plan de mitigación del riesgo antijurídico</t>
  </si>
  <si>
    <t>Realizar reunión con las diferentes áreas de la entidad con el propósito de establecer los riesgos que pueden generar posibles acciones judiciales en contra de la UBPD.</t>
  </si>
  <si>
    <t>Oficina Asesora Jurídica</t>
  </si>
  <si>
    <t xml:space="preserve">Gestión jurídica
</t>
  </si>
  <si>
    <t>Política de defensa jurídica</t>
  </si>
  <si>
    <t>1 documento de política de prevención del daño antijurídico</t>
  </si>
  <si>
    <t>Realizar priorización del riesgo(s) que va a ser objeto del plan de acción.</t>
  </si>
  <si>
    <t>Solicitar la parametrización en el Sistema eKOGUI de la causa general por la que se configura el riesgo, si a ello hubiere lugar.</t>
  </si>
  <si>
    <t>Establecer las medidas a realizar para la mitigación de los riesgos antijurídicos. La medida hace referencia a (qué hacer).</t>
  </si>
  <si>
    <t>Determinar el mecanismo idóneo para hacer efectiva la medida. El mecanismo se refiere a (cómo hacerlo).</t>
  </si>
  <si>
    <t>Realizar la formulación de indicadores de gestión, resultado e impacto de la Política de Prevención.</t>
  </si>
  <si>
    <t>Consolidación del documento de Política de Prevención del daño antijurídico.</t>
  </si>
  <si>
    <t>Socialización y aprobación del documento de Política de Prevención del daño antijurídico ante el Comité de Conciliación de la UBPD.</t>
  </si>
  <si>
    <t>Remitir la Política de Prevención a la Agencia Nacional de Defensa Jurídica del Estado - ANDJE para aprobación metodológica.</t>
  </si>
  <si>
    <t>Realizar seguimiento a las actividades establecidas en el plan de acción de acuerdo con el riesgo priorizado para lograr la mitigación</t>
  </si>
  <si>
    <t>Mecanismos de Articulación Interinstitucional.</t>
  </si>
  <si>
    <t>No. de entidades con relacionamiento activo con la UBPD.</t>
  </si>
  <si>
    <t>Consolidación y seguimiento a la articulación interinstitucional de la UBPD con actores clave</t>
  </si>
  <si>
    <t>Identificar actores institucionales clave para el cumplimiento del mandato misional de la UBPD.</t>
  </si>
  <si>
    <t>Subdirección General Técnica y Territorial</t>
  </si>
  <si>
    <t xml:space="preserve">Coordinación interinstitucional
</t>
  </si>
  <si>
    <t>6 entidades con relacionamiento activo con la UBPD</t>
  </si>
  <si>
    <t>Identificar temáticas y necesidades misionales de articulación.</t>
  </si>
  <si>
    <t>Entablar contacto e instalar mecanismo de articulación con los actores institucionales clave.</t>
  </si>
  <si>
    <t>Realizar el seguimiento a los acuerdos alcanzados en desarrollo de la articulación interinstitucional.</t>
  </si>
  <si>
    <t>% de avance en la construcción de protocolo de intercambio de información con la Comisión de Esclarecimiento de la Verdad - CEV.</t>
  </si>
  <si>
    <t>Protocolo intercambio de información CEV -UBPD diseñado</t>
  </si>
  <si>
    <t>Identificar necesidades de información al interior de la UBPD relacionadas con el mandato de la CEV</t>
  </si>
  <si>
    <t>Implementación de acciones humanitarias de búsqueda</t>
  </si>
  <si>
    <t xml:space="preserve">70% de protocolo de información construido. </t>
  </si>
  <si>
    <t>Concertar con la CEV una ruta de intercambio de información</t>
  </si>
  <si>
    <t xml:space="preserve">Elaborar primera versión de protocolo de intercambio de información. </t>
  </si>
  <si>
    <t xml:space="preserve">Planeación y Seguimiento Estratégico. </t>
  </si>
  <si>
    <t>% de avance en el diseño e implementación de los mecanismos de planeación y seguimiento a la operación misional de las áreas a cargo de la subdirección técnica y territorial.</t>
  </si>
  <si>
    <t xml:space="preserve">Plan operativo de las áreas misionales a cargo de la subdirección. </t>
  </si>
  <si>
    <t>Diseñar de plan operativo para el funcionamiento de las áreas misionales a cargo de la subdirección</t>
  </si>
  <si>
    <t>100% de avance en el diseño e implementación de los mecanismos de planeación y seguimiento a la operación misional de las áreas a cargo de la subdirección técnica y territorial</t>
  </si>
  <si>
    <t>Coordinar el alistamiento requerido para el funcionamiento de las áreas misionales a cargo de la subdirección</t>
  </si>
  <si>
    <t>Realizar seguimiento y retroalimentación a la gestión de las áreas misionales</t>
  </si>
  <si>
    <t xml:space="preserve">Identificación de riesgos e implementación de acciones de mejora en la gestión de las áreas misionales </t>
  </si>
  <si>
    <t>31//12/2019</t>
  </si>
  <si>
    <t>Consolidación territorial para la búsqueda</t>
  </si>
  <si>
    <t xml:space="preserve">% de avance en la conformación de equipos territoriales de la UBPD. </t>
  </si>
  <si>
    <t>Plan operativo para la conformación, funcionamiento y seguimiento de las sedes territoriales de la UBPD</t>
  </si>
  <si>
    <t>Definir focalización territorial de la UBPD</t>
  </si>
  <si>
    <t xml:space="preserve">85% de los equipos territoriales de la UBPD en funcionamiento. </t>
  </si>
  <si>
    <t>Diseñar el esquema de funcionamiento y los planes de acción de las territoriales de la UBPD</t>
  </si>
  <si>
    <t>Realizar el proceso de selección y vinculación del recurso humano requerido en las territoriales de la UBPD</t>
  </si>
  <si>
    <t>Acompañar el proceso de adecuación de las sedes territoriales de la UBPD</t>
  </si>
  <si>
    <t>Diseñar e implementar proceso de alistamiento para los equipos territoriales de la UBPD</t>
  </si>
  <si>
    <t xml:space="preserve">Realizar seguimiento y retroalimentación a la gestión de las territoriales de la UBPD. </t>
  </si>
  <si>
    <t xml:space="preserve">Coordinar con el asesor definido para tal fin, la implementación de esquemas de protección para los equipos territoriales, de las familias y personas participantes del proceso con la UBPD. </t>
  </si>
  <si>
    <t>% de avance en la formulación participativa de documento sobre enfoque territorial de la UBPD.</t>
  </si>
  <si>
    <t>Formulación participativa del enfoque territorial de la UBPD</t>
  </si>
  <si>
    <t>Definir los componentes mínimos del enfoque territorial de la UBPD.</t>
  </si>
  <si>
    <t xml:space="preserve">Implementación de acciones humanitarias de búsqueda
</t>
  </si>
  <si>
    <t>50% de los lineamientos del enfoque territorial de la UBPD construidos</t>
  </si>
  <si>
    <t>Realizar los diálogos para la construcción del enfoque territorial con los equipos territoriales de las sedes activas de la UBPD.</t>
  </si>
  <si>
    <t>Sistematizar los avances de la construcción del enfoque territorial de la UBPD.</t>
  </si>
  <si>
    <t>Plan Nacional de Búsqueda.</t>
  </si>
  <si>
    <t>No. de documentos sobre lineamientos para la formulación del plan nacional de búsqueda, garantizando la inclusión de los enfoques territorial, diferencial, étnico y de género.</t>
  </si>
  <si>
    <t xml:space="preserve">Formulación de Plan Nacional de Búsqueda </t>
  </si>
  <si>
    <t>Presentar a la Dirección General de la UBPD una propuesta de cronograma, metodología y componentes mínimos que debe contener el proceso de construcción del plan nacional de búsqueda.</t>
  </si>
  <si>
    <t>1 documento de lineamientos para construcción de plan nacional de búsqueda presentado a la Dirección General de la UBPD.</t>
  </si>
  <si>
    <t xml:space="preserve">Coordinar la elaboración de insumos por parte de las direcciones misionales para la construcción del Plan Nacional de Búsqueda </t>
  </si>
  <si>
    <t>Presentar a la Dirección General de la UBPD, el documento para el proceso de elaboración del Plan Nacional de Búsqueda con participación de la sociedad civil y la coordinación con entidades.</t>
  </si>
  <si>
    <t>Lineamientos Técnicos para Planes de Búsqueda.</t>
  </si>
  <si>
    <t>No. de documentos sobre criterios de evaluación y aprobación de los planes regionales de búsqueda, garantizando la inclusión de los enfoques territorial, diferencial, étnico y de género.</t>
  </si>
  <si>
    <t>Lineamientos para la evaluación de planes regionales de búsqueda</t>
  </si>
  <si>
    <t>Desarrollar ejercicios metodológicos para la identificación de lineamientos para los planes de búsqueda.</t>
  </si>
  <si>
    <t xml:space="preserve"> 1 documento sobre criterios de evaluación y aprobación de los planes regionales de búsqueda presentado a la Dirección General de la UBPD para su aprobación</t>
  </si>
  <si>
    <t>Consolidar el documento sobre lineamientos metodológicos para la formulación de planes de búsqueda.</t>
  </si>
  <si>
    <t>% de planes regionales de búsqueda en implementación</t>
  </si>
  <si>
    <t xml:space="preserve">Mecanismos para la aprobación de planes regionales de búsqueda </t>
  </si>
  <si>
    <t>Conformar instancia colegiada al interior de la UBPD para la implentación de los planes regionales de búsqueda.</t>
  </si>
  <si>
    <t>88% de los planes regionales de búsqueda presentados a la Subdirección, en implementación</t>
  </si>
  <si>
    <t>Implementar los planes regionales de búsqueda.</t>
  </si>
  <si>
    <t>Interlocución Territorial</t>
  </si>
  <si>
    <t>No. de matrices de caracterización de actores regionales clave para la búsqueda</t>
  </si>
  <si>
    <t xml:space="preserve">Identificación y caracterización de actores territoriales para la búsqueda </t>
  </si>
  <si>
    <t xml:space="preserve">Diseño de instrumento para caracterización de actores territoriales clave para la labor de la UBPD en territorio. </t>
  </si>
  <si>
    <t>17 matrices de caracterización de actores regionales clave para la búsqueda, diligenciadas</t>
  </si>
  <si>
    <t>Identificación de actores clave en territorio y diligenciamiento de la matriz de identificación en las 10 primeras sedes territoriales.</t>
  </si>
  <si>
    <t>Identificación de actores clave en territorio y diligenciamiento de la matriz de identificación en las siguientes 7 sedes territoriales.</t>
  </si>
  <si>
    <t xml:space="preserve">Subdirección General Técnica y Territorial - 
Coordinación regional </t>
  </si>
  <si>
    <t>No. de encuentros con entidades e instituciones que conocen el trabajo de la UBPD y con las que se inicia un contacto de relacionamiento en el territorio</t>
  </si>
  <si>
    <t xml:space="preserve">Implementación de ruta de relacionamiento con actores territoriales para la búsqueda </t>
  </si>
  <si>
    <t xml:space="preserve">Realizar encuentros o participar de espacios informativos y pedagógicos sobre el mandato de la UBPD. </t>
  </si>
  <si>
    <t>Coordinación interinstitucional</t>
  </si>
  <si>
    <t>81 encuentros con entidades e instituciones que conocen el trabajo de la UBPD y con las que se inicia un contacto de relacionamiento en el territorio</t>
  </si>
  <si>
    <t>Sistematizar resultados del diálogo con actores institucionales.</t>
  </si>
  <si>
    <t>Consolidación territorial para la Búsqueda</t>
  </si>
  <si>
    <t>No. de encuentros de asesoría, orientación, apoyo y fortalecimiento realizadas, de acuerdo a los lineamientos de la dirección de participación</t>
  </si>
  <si>
    <t xml:space="preserve">Procesos de asesoría, orientación, apoyo y fortalecimiento a familiares en el proceso territorial de búsqueda de personas desaparecidas. </t>
  </si>
  <si>
    <t>Participar de los escenarios de alistamiento dispuestos por la UBPD</t>
  </si>
  <si>
    <t>Subdirección General Técnica y Territorial - 
Equipos territoriales</t>
  </si>
  <si>
    <t>Participación (Interlocución e interacción permanente) de las familias y/o pueblos étnicos a los que pertenecen las víctimas en los procesos de búsqueda</t>
  </si>
  <si>
    <t>Política de Participación ciudadanía</t>
  </si>
  <si>
    <t>720 encuentros de asesoría, orientación, apoyo y fortalecimiento realizadas, de acuerdo a los lineamientos de la dirección de participación</t>
  </si>
  <si>
    <t xml:space="preserve">Identificar y caracterizar familias o personas para realizar asesoría, orientación, apoyo y fortalecimiento durante el proceso de búsqueda. </t>
  </si>
  <si>
    <t xml:space="preserve">Realizar asesorías a familias o personas sobre el mandato de la UBPD, de acuerdo a los lineamientos de la dirección de participación. </t>
  </si>
  <si>
    <t>Realizar proceso de asesoría, orientación, apoyo y fortalecimiento a familias o personas que han iniciado proceso con la UBPD, de acuerdo a lineamientos de la dirección de participación de la UBPD</t>
  </si>
  <si>
    <t xml:space="preserve">Documentar el proceso de asesoría, orientación, apoyo y fortalecimiento cumpliendo los parámetros de la dirección de participación. </t>
  </si>
  <si>
    <t xml:space="preserve">Acompañar el proceso de devolución de información sobre su caso a familias o personas que han participado en procesos de búsqueda con la UBPD. </t>
  </si>
  <si>
    <t>No. de encuentros colectivos de asesoría, orientación, apoyo y fortalecimiento a familiares realizados</t>
  </si>
  <si>
    <t>Procesos colectivos de asesoría, orientación, apoyo y fortalecimiento a familiares en territorio</t>
  </si>
  <si>
    <t xml:space="preserve">Diseñar metodología de los espacios colectivos en coordinación con la dirección de participación de la UBPD. </t>
  </si>
  <si>
    <t>20 encuentros colectivos de asesoría, orientación, apoyo y fortalecimiento a familiares realizados</t>
  </si>
  <si>
    <t>Convocar a familiares o personas participantes del proceso</t>
  </si>
  <si>
    <t xml:space="preserve">Realizar los encuentros colectivos en coordinación con la dirección de participación de la UBPD. </t>
  </si>
  <si>
    <t xml:space="preserve">Documentar los resultados del proceso colectivo de asesoría, orientación, apoyo y fortalecimiento cumpliendo los parametros de la dirección de participación. </t>
  </si>
  <si>
    <t>Implementación de acciones humanitarias de búsqueda
(Recolección, análisis y contexto de la información y localización)</t>
  </si>
  <si>
    <t>Información Territorial Disponible</t>
  </si>
  <si>
    <t>No. de documentos con insumos sobre contexto y situación de riesgo territorial elaborados, siguiendo las orientaciones del asesor de protección de la UBPD.</t>
  </si>
  <si>
    <t xml:space="preserve">Evaluación y monitoreo de contextos de riesgo territorial. </t>
  </si>
  <si>
    <t>Realizar monitoreo constante al contexto y situación de riesgo territorial en articulación con asesor de protección de la UBPD</t>
  </si>
  <si>
    <t xml:space="preserve">Gestión de protección de las víctimas y declarantes
</t>
  </si>
  <si>
    <t>10 documentos con insumos sobre contexto y situación de riesgo territorial elaborados siguiendo las orientaciones del asesor de protección de la UBPD</t>
  </si>
  <si>
    <t>Redactar documento mensual de contexto y situación de riesgo territorial siguiendo las orientaciones del asesor de protección de la UBPD</t>
  </si>
  <si>
    <t>No. de matrices de caracterización de potenciales fuentes de información territorial que aporten a la búsqueda.</t>
  </si>
  <si>
    <t xml:space="preserve">Apoyo al proceso de documentación de fuentes territoriales </t>
  </si>
  <si>
    <t>Diseño del instrumento de caracterización de fuentes en territorio</t>
  </si>
  <si>
    <t>10 matrices de caracterización de potenciales fuentes de información territorial que aporten a la búsqueda</t>
  </si>
  <si>
    <t>Diligenciamiento del instrumento de caracterización de fuentes en territorio</t>
  </si>
  <si>
    <t>Información disponible y segura para la búsqueda</t>
  </si>
  <si>
    <t>No. de informes generados en virtud del cumplimiento de protocolos de acceso y protección de información</t>
  </si>
  <si>
    <t xml:space="preserve">Protección y confidencialidad de la información. </t>
  </si>
  <si>
    <t xml:space="preserve">Diseñar protocolos para garantizar la protección y confidencialidad de la información. </t>
  </si>
  <si>
    <t>Dirección de Información, Planeación y Localización para la Búsqueda</t>
  </si>
  <si>
    <t>2 informes generados en virtud del cumplimiento de protocolos de acceso y protección de información</t>
  </si>
  <si>
    <t>Diseñar Plan de Monitoreo.</t>
  </si>
  <si>
    <t xml:space="preserve">Realizar monitoreos de protección y confidencialidad de la información. </t>
  </si>
  <si>
    <t xml:space="preserve">Inventario y organización de información de otras instituciones y de organizaciones. </t>
  </si>
  <si>
    <t>Gestionar y formalizar acceso a la información de otras instituciones y organizaciones.</t>
  </si>
  <si>
    <t>Identificar las necesidades de instituciones y organizaciones sobre inventario y organización de información.</t>
  </si>
  <si>
    <t>Formular proyecto con algunas instituciones y organizaciones de acuerdo con necesidades urgentes de la UBPD.</t>
  </si>
  <si>
    <t>Plan Nacional de Búsqueda formulado.</t>
  </si>
  <si>
    <t>Encuentros con sociedad civil para recolección de insumos para Plan Nacional de Búsqueda</t>
  </si>
  <si>
    <t>Preparar la metodología de los encuentros con los actores sociales  hacen parte de la construcción del Plan Nacional de Búsqueda.</t>
  </si>
  <si>
    <t>1 Plan Nacional de Búsqueda formulado</t>
  </si>
  <si>
    <t>Realizar los encuentros con los actores sociales hacen parte de la construcción del Plan Nacional de Búsqueda.</t>
  </si>
  <si>
    <t>Sistematizar los diálogos que tengan lugar en los encuentros con diversos actores sociales sobre el Plan Nacional de Búsqueda.</t>
  </si>
  <si>
    <t>Propuesta Plan Nacional de Búsqueda</t>
  </si>
  <si>
    <t>Elaborar la primera versión del PNB.</t>
  </si>
  <si>
    <t>Elaborar la versión final del PNB.</t>
  </si>
  <si>
    <t>Realizar la socialización del PNB con la sociedad colombiana.</t>
  </si>
  <si>
    <t>% de personas dadas por desaparecidas puestas en conocimiento de la UBPD, registradas en las herramientas de la DIPLOB.</t>
  </si>
  <si>
    <t>Metodologías de búsqueda humanitaria y extrajudicial de personas dadas por desaparecidas para el Estado colombiano, incorporando enfoques territorial, diferencial, étnico y de género.</t>
  </si>
  <si>
    <t>Consolidar en la base del registro unificado la información que llegue a la UBPD por las diversas fuentes tanto internas externas de las personas dadas por desaparecidas.</t>
  </si>
  <si>
    <t>Contrastar la información que reposa en la base de registro unificado.</t>
  </si>
  <si>
    <t>Elaborar los reportes o informes que sean requeridos con base en la información consolidada</t>
  </si>
  <si>
    <t>% de información para la búsqueda recolectada, sistematizada y centralizada.</t>
  </si>
  <si>
    <t>Herramientas de recolección de información</t>
  </si>
  <si>
    <t xml:space="preserve">Diseñar herramientas de recolección de información primaria. </t>
  </si>
  <si>
    <t>Subdirección de Gestión de la Información para la Búsqueda</t>
  </si>
  <si>
    <t xml:space="preserve">60% de información recolectada, sistematizada y centralizada. </t>
  </si>
  <si>
    <t xml:space="preserve">Implementar herramientas de recolección de información primaria. </t>
  </si>
  <si>
    <t>Variables para sistematización de información.</t>
  </si>
  <si>
    <t xml:space="preserve">Elaborar diagnóstico sobre calidad de información disponible en bases de datos de otras instituciones. </t>
  </si>
  <si>
    <t xml:space="preserve">Revisar y proponer estructura de información primaria y secundaria recogida por la UBPD. </t>
  </si>
  <si>
    <t>Elaborar propuesta conceptual de variables (modelo entidad-relación) para sistema de información.</t>
  </si>
  <si>
    <t xml:space="preserve">Contratar consultoría experta para definir el alcance y diseñar el sistema de información que permita la gestión y análisis de la información para la búsqueda. </t>
  </si>
  <si>
    <t>Repositorio central de información</t>
  </si>
  <si>
    <t xml:space="preserve">Registrar la información primaria y secundaria recibida por la UBPD en los instrumentos diseñados. </t>
  </si>
  <si>
    <t xml:space="preserve">Realizar control de calidad de los registros de información primaria y secundaria. </t>
  </si>
  <si>
    <t>31/12/20019</t>
  </si>
  <si>
    <t>Sistema de información geográfica</t>
  </si>
  <si>
    <t>Elaborar modelo conceptual de registro y sistematización de los datos geográficos.</t>
  </si>
  <si>
    <t>Recolectar cartografía base y catastral.</t>
  </si>
  <si>
    <t>Construir capas de información geográfica útiles para la caracterización de sitios de desaparición de personas y disposición de cuerpos.</t>
  </si>
  <si>
    <t>Capítulo especial del Registro Nacional de Desaparecidos</t>
  </si>
  <si>
    <t>Coordinar acciones con el Instituto Nacional de Medicina Legal y Ciencias Forenses para la creación del capítulo especial del Registro Nacional de Desaparecidos</t>
  </si>
  <si>
    <t>Definir parámetros de estructura del capítulo especial del Registro Nacional de Desaparecidos teniendo en cuenta los enfoques diferenciales</t>
  </si>
  <si>
    <t>Incorporar los lineamientos provenientes de pueblos indígenas en torno a la visibilización de estas poblaciones en el universo de personas dadas por desaparecidas.</t>
  </si>
  <si>
    <t xml:space="preserve">Diseñar mecanismos automatizados de intercambio de información entre la UBPD y el INMLCF </t>
  </si>
  <si>
    <t>Reglas para la interoperabilidad e inclusión de información en el Registro Único de Víctimas</t>
  </si>
  <si>
    <t>Coordinar acciones con la Unidad para la Atención y Reparación Integral a las Víctimas (UARIV) para el establecimiento de reglas para la interoperabilidad en el Registro Único de Víctimas</t>
  </si>
  <si>
    <t>Establecer reglas para la interoperabilidad en el Registro Único de Víctimas</t>
  </si>
  <si>
    <t>Diseñar mecanismos automatizados de intercambio de información entre la UBPD y la UARIV</t>
  </si>
  <si>
    <t xml:space="preserve">No. de documentos sobre el universo de personas dadas por desaparecidas en el contexto y en razón del conflicto armado elaborados. </t>
  </si>
  <si>
    <t>Metodología para el establecimiento del universo de personas dadas por desaparecidas en el contexto y en razón del conflicto armado.</t>
  </si>
  <si>
    <t xml:space="preserve">Elaborar propuesta de metodología a partir de sistematizaciones realizadas por otras instituciones y organizaciones. </t>
  </si>
  <si>
    <t>2 documentos sobre el universo de personas dadas por desaparecidas en el contexto y en razón del conflicto armado elaborados en doce meses.</t>
  </si>
  <si>
    <t xml:space="preserve">Revisar y ajustar metodología. </t>
  </si>
  <si>
    <t xml:space="preserve">Universo de personas dadas por desaparecidas en el contexto y en razón del conflicto armado. </t>
  </si>
  <si>
    <t xml:space="preserve">Cruzar y depurar fuentes de información disponibles. </t>
  </si>
  <si>
    <t xml:space="preserve">Valorar subregistro de información. </t>
  </si>
  <si>
    <t xml:space="preserve">Elaborar documento de avance sobre el establecimiento del universo de personas dadas por desaparecidas en el contexto y en razón del conflicto armado. </t>
  </si>
  <si>
    <t>1/11/20019</t>
  </si>
  <si>
    <t xml:space="preserve">No. de documentos sobre el registro nacional de fosas, cementerios ilegales y sepulturas elaborados. </t>
  </si>
  <si>
    <t>Metodología para el Registro Nacional de Fosas, Cementerios ilegales y Sepulturas.</t>
  </si>
  <si>
    <t xml:space="preserve">Elaborar propuesta metodológica para la elaboración del Registro Nacional de Fosas, Cementerios ilegales y Sepulturas. </t>
  </si>
  <si>
    <t xml:space="preserve">1 documento sobre el registro nacional de fosas, cementerios ilegales y sepulturas elaborado. </t>
  </si>
  <si>
    <t>Elaborar la matriz preliminar para el registro de la información</t>
  </si>
  <si>
    <t xml:space="preserve">Planes regionales de búsqueda
</t>
  </si>
  <si>
    <t>No. planes con hipótesis de localización</t>
  </si>
  <si>
    <t>Guía metodológica de investigación para la búsqueda</t>
  </si>
  <si>
    <t xml:space="preserve">Elaborar documentos de alistamiento y entregar a Subdirección General Técnica y Territorial. </t>
  </si>
  <si>
    <t xml:space="preserve">Subdirección de Análisis, Planeación y Localización para la Búsqueda </t>
  </si>
  <si>
    <t xml:space="preserve">8 planes con hipótesis de localización durante el año 2019 </t>
  </si>
  <si>
    <t xml:space="preserve">Socialización de documentos de alistamiento con actores clave. </t>
  </si>
  <si>
    <t xml:space="preserve">Documentar subprocesos y procedimientos de información, planeación y localización. </t>
  </si>
  <si>
    <t xml:space="preserve">Planes de investigación para la búsqueda </t>
  </si>
  <si>
    <t>Organizar información disponible para identificar líneas de investigación para la búsqueda.</t>
  </si>
  <si>
    <t xml:space="preserve">Analizar información disponible para proponer rutas de investigación para la búsqueda. </t>
  </si>
  <si>
    <t>Localización para la búsqueda.</t>
  </si>
  <si>
    <t xml:space="preserve">Complementar información para establecer hipótesis de localización para la búsqueda. </t>
  </si>
  <si>
    <t xml:space="preserve">Formular planes regionales de búsqueda con hipótesis de localización. </t>
  </si>
  <si>
    <t>Métodos de prospección adecuados</t>
  </si>
  <si>
    <t>No. de métodos de prospección valorados</t>
  </si>
  <si>
    <t>Prospecciones con instituciones que posean tecnología</t>
  </si>
  <si>
    <t>Diagnosticar las instituciones que tienen tecnologías para prospectar.</t>
  </si>
  <si>
    <t>31/03/2019</t>
  </si>
  <si>
    <t>Dirección de Prospección, Recuperación e Identificación</t>
  </si>
  <si>
    <t xml:space="preserve">Implementación de acciones humanitarias de búsqueda
(Contacto con personas vivas, o prospección y recuperación de cuerpos)
</t>
  </si>
  <si>
    <t>3 métodos de prospección valorados en el año 2019</t>
  </si>
  <si>
    <t>Elegir los métodos a aplicar.</t>
  </si>
  <si>
    <t>30/06/2019</t>
  </si>
  <si>
    <t>Realizar las prospecciones.</t>
  </si>
  <si>
    <t>31/12/2019</t>
  </si>
  <si>
    <t xml:space="preserve">Temas de formación necesarios para el personal de la UBPD </t>
  </si>
  <si>
    <t>Diagnosticar el conocimiento de los servidores.</t>
  </si>
  <si>
    <t>31/03/21019</t>
  </si>
  <si>
    <t>Identificar las temáticas del plan de formación.</t>
  </si>
  <si>
    <t>Solicitar el plan de formación a la oficina de gestión del conocimiento.</t>
  </si>
  <si>
    <t>01/04/219</t>
  </si>
  <si>
    <t>No. de prospecciones realizadas</t>
  </si>
  <si>
    <t>Casos con mayor facilidad de prospección</t>
  </si>
  <si>
    <t>Revisar el estado del arte en la prospección.</t>
  </si>
  <si>
    <t>Implementación de acciones humanitarias de búsqueda
(Contacto con personas vivas, o prospección y recuperación de cuerpos)</t>
  </si>
  <si>
    <t>Política de Fortalecimiento organizacional y simplificación de procesos</t>
  </si>
  <si>
    <t>12 prospecciones realizadas en el año 2019</t>
  </si>
  <si>
    <t>Realizar reuniones con funcionarios UBPD para la realización del protocolo.</t>
  </si>
  <si>
    <t>Elaborar el protocolo de prospección.</t>
  </si>
  <si>
    <t>Socializar el protocolo de prospección.</t>
  </si>
  <si>
    <t>Realizar prospecciones de acuerdo con el informe de localización emitido por la DTIPL.</t>
  </si>
  <si>
    <t>Métodos de recuperación adecuados</t>
  </si>
  <si>
    <t>No. de métodos de Recuperación valorados</t>
  </si>
  <si>
    <t>Recuperaciones con instituciones que posean tecnología</t>
  </si>
  <si>
    <t>Diagnosticar las instituciones que tienen tecnologías para recuperar.</t>
  </si>
  <si>
    <t>3 métodos de recuperación valorados en 2019</t>
  </si>
  <si>
    <t>Realizar las recuperaciones.</t>
  </si>
  <si>
    <t>Temas de formación necesarios para el personal de la UBPD encargado</t>
  </si>
  <si>
    <t>Diagnosticar el conocimiento de los servidores</t>
  </si>
  <si>
    <t>Identificar las temáticas del Plan de formación</t>
  </si>
  <si>
    <t>Solicitar el plan de formación</t>
  </si>
  <si>
    <t>No. de cuerpos recuperados</t>
  </si>
  <si>
    <t>Casos con mayor probabilidad de recuperación</t>
  </si>
  <si>
    <t>Revisar el estado del arte en la recuperación.</t>
  </si>
  <si>
    <t>4 cuerpos recuperados en el año 2019</t>
  </si>
  <si>
    <t>Realizar reuniones de funcionarios UBPD para la realización del protocolo.</t>
  </si>
  <si>
    <t>Redactar el protocolo de recuperación.</t>
  </si>
  <si>
    <t>30-06-2019</t>
  </si>
  <si>
    <t>Socializar el protocolo de recuperación.</t>
  </si>
  <si>
    <t>Analizar la información de cada caso</t>
  </si>
  <si>
    <t>Elaborar el plan de recuperación evaluando y seleccionando el método.</t>
  </si>
  <si>
    <t>Ejecutar el plan de recuperación</t>
  </si>
  <si>
    <t>Calidad del proceso de identificación de los cuerpos recuperados por la UBPD</t>
  </si>
  <si>
    <t>Porcentaje de procesos de identificación monitoreados</t>
  </si>
  <si>
    <t xml:space="preserve">Proceso de identificación con el Instituto Nacional de Medicina Legal y Ciencias Forenses revisado </t>
  </si>
  <si>
    <t>Conocer proceso de identificación del Instituto Nacional de Medicina Legal y Ciencias Forenses.</t>
  </si>
  <si>
    <t>Implementación de acciones humanitarias de búsqueda
(Identificación)</t>
  </si>
  <si>
    <t>100% de procesos de identificación monitoreados en el año 2019</t>
  </si>
  <si>
    <t>Diagnosticar el proceso de identificación Instituto Nacional de Medicina Legal y Ciencias Forenses.</t>
  </si>
  <si>
    <t>Socializar el diagnóstico del proceso de identificación de Instituto Nacional de Medicina Legal y Ciencias Forenses.</t>
  </si>
  <si>
    <t>Establecer compromisos con el Instituto Nacional de Medicina Legal y Ciencias Forenses.</t>
  </si>
  <si>
    <t>Plan de monitoreo del proceso de identificación</t>
  </si>
  <si>
    <t>Diseñar el procedimiento de monitoreo del proceso de identificación</t>
  </si>
  <si>
    <t>Implementar el procedimiento de monitoreo del proceso de identificación</t>
  </si>
  <si>
    <t>Validar las identificaciones</t>
  </si>
  <si>
    <t>Casos Enrutados.</t>
  </si>
  <si>
    <t>No de acciones de impulso para la identificación</t>
  </si>
  <si>
    <t>Instrumento de diagnóstico analizado</t>
  </si>
  <si>
    <t xml:space="preserve">Diseñar el instrumento para el diagnóstico de los casos en los cuales el cadáver continúa sin identificar </t>
  </si>
  <si>
    <t>1 Accion de Impulso implementada para la identificación</t>
  </si>
  <si>
    <t>Realizar prueba piloto del instrumento con casos de dos departamentos del país</t>
  </si>
  <si>
    <t>Analizar la información de los casos revisados en la prueba piloto</t>
  </si>
  <si>
    <t>Proponer acciones para impulsar la identitificación de los casos revisados en la prueba piloto</t>
  </si>
  <si>
    <t>Desarrollar diagnosticos preliminares con casos de las Direcciones Regionales del INMLyCF</t>
  </si>
  <si>
    <t>Personas que participan en el proceso de búsqueda</t>
  </si>
  <si>
    <t>No. de personas con asesoría, orientación y fortalecimiento para la participación en la búsqueda</t>
  </si>
  <si>
    <t xml:space="preserve">193 personas con asesoramiento para la búsqueda a diciembre de 2018 </t>
  </si>
  <si>
    <t>Estrategia metodológica del proceso de participación con enfoques diferenciales, género y psicosocial de manera articulada con la Subdirección General Técnica y Territorial</t>
  </si>
  <si>
    <t>Diseñar estrategia metodológica del proceso de participación con enfoques diferenciales, género y psicosocial</t>
  </si>
  <si>
    <t>Dirección de Participación, contacto con las víctimas y Enfoques diferenciales</t>
  </si>
  <si>
    <t>Mínimo 900 personas con asesoría, orientación y fortalecimiento para la participación en la búsqueda</t>
  </si>
  <si>
    <t xml:space="preserve">Participar en la definición de contenidos para la elaboración de piezas comunicativas y material pedagógico para el proceso de participación </t>
  </si>
  <si>
    <t>Implementar la estrategia metodológica del proceso de participación con enfoques diferenciales, género y psicosocial por parte de los Equipos territoriales y el equipo nacional de participación.</t>
  </si>
  <si>
    <t>Diseñar la estrategia metodológica de evaluación del proceso de participación con enfoques diferenciales, género y psicosocial por parte de los Equipos territoriales y el equipo nacional de participación.</t>
  </si>
  <si>
    <t>31/06/2019</t>
  </si>
  <si>
    <t>Evaluar la estrategia metodológica del proceso de participación con enfoques diferenciales, género y psicosocial por parte de los Equipos territoriales y el equipo nacional de participación.</t>
  </si>
  <si>
    <t>Implementar la estrategia metodológica del proceso de participación con familiares en el exilio, con enfoques diferenciales, género y psicosocial por parte de los Equipos territoriales y el equipo nacional de participación.</t>
  </si>
  <si>
    <t>Personas con asesoría, orientación, apoyo y fortalecimiento adecuado</t>
  </si>
  <si>
    <t xml:space="preserve"> % de reencuentros realizados</t>
  </si>
  <si>
    <t xml:space="preserve">Reencuentros que incorporan enfoques diferenciales, género y psicosocial </t>
  </si>
  <si>
    <t>Diseñar lineamientos de reencuentros con enfoques diferenciales, género y psicosocial</t>
  </si>
  <si>
    <t>Implementación de acciones humanitarias de búsqueda (Entrega Digna o Reencuentro)</t>
  </si>
  <si>
    <t xml:space="preserve">Realizar el 100% de reencuentros solicitados </t>
  </si>
  <si>
    <t>Realizar los reencuentros solicitados</t>
  </si>
  <si>
    <t xml:space="preserve">Personas con asesoría, orientación, apoyo y fortalecimiento adecuado
</t>
  </si>
  <si>
    <t>% de entregas dignas</t>
  </si>
  <si>
    <t xml:space="preserve">Entregas dignas que incorporan enfoques diferenciales, género y psicosocial </t>
  </si>
  <si>
    <t>Diseñar lineamientos de entregas dignas con enfoques diferenciales, género y psicosocial</t>
  </si>
  <si>
    <t>Realizar el 100% de las entregas dignas solicitadas.</t>
  </si>
  <si>
    <t xml:space="preserve">Realizar las entregas dignas solicitadas </t>
  </si>
  <si>
    <t xml:space="preserve">Lineamientos de participación y enfoques diferenciales, género y psicosocial para los procesos de la UBPD </t>
  </si>
  <si>
    <t>No. de documentos con lineamientos de participación, enfoques diferenciales, género y psicosocial elaborados</t>
  </si>
  <si>
    <t>Lineamientos de participación y enfoques diferenciales, género y psicosocial construidos de manera articulada con la subdirección técnica y territorial</t>
  </si>
  <si>
    <t>Elaborar participativamente los lineamientos de participación, enfoques diferenciales (NNJ, persona mayor - generacional, étnico y discapacidad), género y psicosocial de los procesos de la UBPD.</t>
  </si>
  <si>
    <t>Direccionamiento y planeación estratégica</t>
  </si>
  <si>
    <t>5 lineamientos de participación y enfoques diferenciales, étnico, género y psicosocial construidos</t>
  </si>
  <si>
    <t>Socializar periódicamente los avances sobre lineamientos de participación y enfoques diferenciales, género y psicosocial en los procesos de lla UBPD.</t>
  </si>
  <si>
    <t>Participación de la sociedad civil en los procesos de búsqueda</t>
  </si>
  <si>
    <t>No. de organizaciones de la sociedad civil que apoyan los procesos de participación en la búsqueda.</t>
  </si>
  <si>
    <t>Red de apoyo construida con organizaciones de la sociedad civil para el fortalecimiento de los procesos de participación en la búsqueda</t>
  </si>
  <si>
    <t>Formular la estrategia metodológica para la construcción de una red de apoyo.</t>
  </si>
  <si>
    <t>Mínimo 5 organizaciones de la sociedad civil apoyan los procesos de participación en la búsqueda.</t>
  </si>
  <si>
    <t>Implementar la estrategia de conformación de la red de apoyo con organizaciones de la sociedad civil.</t>
  </si>
  <si>
    <t>Diseñar la estrategia metodológica de evaluación de la conformación de la red de apoyo</t>
  </si>
  <si>
    <t>Evaluar la estrategia de construcción de una red de apoyo con organizaciones de la sociedad civil.</t>
  </si>
  <si>
    <t>No. de organizaciones de la sociedad civil que conocen el trabajo de la UBPD y con las que se inicia un contacto de relacionamiento.</t>
  </si>
  <si>
    <t>Conocimiento y contacto establecido con organizaciones de la sociedad civil</t>
  </si>
  <si>
    <t>Diseñar metodologías de trabajo con organizaciones de la sociedad civil de acuerdo a sus particularidades</t>
  </si>
  <si>
    <t>40 organizaciones de la sociedad civil conocen el trabajo de la UBPD e inician un contacto de relacionamiento</t>
  </si>
  <si>
    <t>Implementar metodologías de trabajo con organizaciones de la sociedad civil de acuerdo a sus particularidades</t>
  </si>
  <si>
    <t>Evaluar metodologías de trabajo con organizaciones de la sociedad civil de acuerdo a sus particularidades</t>
  </si>
  <si>
    <t>Solidez administrativa</t>
  </si>
  <si>
    <t>% de Grupos internos de trabajo consolidados</t>
  </si>
  <si>
    <t>100% de Grupos internos de trabajo consolidados a diciembre de 2018</t>
  </si>
  <si>
    <t>Organización Administrativa de la Planta de Personal.</t>
  </si>
  <si>
    <t xml:space="preserve">Vincular la planta de personal en las diferentes áreas </t>
  </si>
  <si>
    <t>Secretaría General</t>
  </si>
  <si>
    <t>Gestión humana</t>
  </si>
  <si>
    <t>Política de Talento Humano</t>
  </si>
  <si>
    <t>100 % de Grupos internos de trabajo consolidados</t>
  </si>
  <si>
    <t>Emitir los actos administrativos para la consolidación de los grupos internos de trabajo</t>
  </si>
  <si>
    <t xml:space="preserve">Asignar la coordinación mediante actos administrativos individuales </t>
  </si>
  <si>
    <t>No. políticas administrativas adoptadas</t>
  </si>
  <si>
    <t xml:space="preserve">Planes de Implementación </t>
  </si>
  <si>
    <t>Elaborar los diagnósticos de las políticas</t>
  </si>
  <si>
    <t>01/02/219</t>
  </si>
  <si>
    <t xml:space="preserve"> -Servicio al ciudadano
 - Gestión humana
- Gestión documental</t>
  </si>
  <si>
    <t xml:space="preserve"> - Política de servicio ciudadano
- Política de Talento Humano
- Política de Gestión documental</t>
  </si>
  <si>
    <t>4 políticas administrativas adoptadas</t>
  </si>
  <si>
    <t xml:space="preserve">Elaboración de políticas </t>
  </si>
  <si>
    <t>Presentar las políticas para su adopción</t>
  </si>
  <si>
    <t>Cultura de transparencia</t>
  </si>
  <si>
    <t xml:space="preserve">% de las actuaciones administrativas publicadas </t>
  </si>
  <si>
    <t>94,3% de las actuaciones administrativas publicadas en la página web durante el último trimestre de 2018</t>
  </si>
  <si>
    <t>Principio de publicidad aplicado</t>
  </si>
  <si>
    <t>Publicar los actos administrativos de carácter general</t>
  </si>
  <si>
    <t xml:space="preserve"> - Gestión contractual
- Gestión de talento humano</t>
  </si>
  <si>
    <t>Política de Transparencia, acceso a la información y lucha anticorrupción</t>
  </si>
  <si>
    <t xml:space="preserve">100% de las actuaciones administrativas publicadas </t>
  </si>
  <si>
    <t xml:space="preserve">Publicar los procesos de contratación </t>
  </si>
  <si>
    <t>Publicar los procesos de selección de personal</t>
  </si>
  <si>
    <t>Eficiencia presupuestal</t>
  </si>
  <si>
    <t>% recursos ejecutados</t>
  </si>
  <si>
    <t>43,23% de los recursos ejecutados durante el año 2018</t>
  </si>
  <si>
    <t>Tablero de Control</t>
  </si>
  <si>
    <t>Definir metas de ejecución presupuestal</t>
  </si>
  <si>
    <t>Gestión administrativa y financiera</t>
  </si>
  <si>
    <t xml:space="preserve">Política de Gestión presupuestal y eficiencia del gasto público </t>
  </si>
  <si>
    <t>90% recursos ejecutados a 31 de diciembre de 2019</t>
  </si>
  <si>
    <t xml:space="preserve">Diseñar el tablero de control </t>
  </si>
  <si>
    <t>Realizar seguimiento y generar alertas</t>
  </si>
  <si>
    <t xml:space="preserve">Procesos Financieros eficientes </t>
  </si>
  <si>
    <t>Indice del PAC no utilizado</t>
  </si>
  <si>
    <t>Eficiente programación del PAC</t>
  </si>
  <si>
    <t>Emitir lineamientos para una efectiva programación del Plan Anual de Caja -PAC</t>
  </si>
  <si>
    <t>Subdirección Administrativa y Financiera</t>
  </si>
  <si>
    <t xml:space="preserve"> Máximo un 6% de PAC no utilizado</t>
  </si>
  <si>
    <t>Realizar el seguimiento periódico de los compromisos y la respectiva programación del Plan Anual de Caja</t>
  </si>
  <si>
    <t>Realizar la planeación del PAC de acuerdo con las comisiones de las cuales se tenga confirmación efectiva para reducir el índice de no ejecución de los viáticos</t>
  </si>
  <si>
    <t>Realizar seguimiento y evaluación de la estrategia</t>
  </si>
  <si>
    <t>Bienes y servicios disponibles</t>
  </si>
  <si>
    <t>Solicitudes de bienes y servicios atendidas</t>
  </si>
  <si>
    <t>Plan de utilización de bienes y servicios</t>
  </si>
  <si>
    <t>Diseñar e implementar lineamientos e instrumentos para la programación de necesidades de Bienes y servicios para la eleboración del Plan Anual de Adquisiciones - PAA.</t>
  </si>
  <si>
    <t>Política Planeación institucional</t>
  </si>
  <si>
    <t>Atender el 90% de las solicitudes de bienes y servicios en el 2019</t>
  </si>
  <si>
    <t>Adquirir y proveer los bienes y servicios según la disponibilidad de recursos.</t>
  </si>
  <si>
    <t>Servicio efectivo al ciudadano</t>
  </si>
  <si>
    <t>Política de servicio al ciudadano formulada</t>
  </si>
  <si>
    <t xml:space="preserve">Plan del servicio al ciudadano </t>
  </si>
  <si>
    <t>Diseñar el plan de servicio al ciudadano.</t>
  </si>
  <si>
    <t>Servicio al ciudadano</t>
  </si>
  <si>
    <t>Política de servicio al ciudadano</t>
  </si>
  <si>
    <t>100 % de la política de servicio al ciudadano adoptada</t>
  </si>
  <si>
    <t>Presentar el plan para aprobación.</t>
  </si>
  <si>
    <t>Realizar seguimiento al plan de servicio al ciudadano.</t>
  </si>
  <si>
    <t>Elaborar la política de servicio al ciudadano.</t>
  </si>
  <si>
    <t>Presentar política de servicio al ciudadano para aprobación.</t>
  </si>
  <si>
    <t>Socializar la política de servicio al ciudadano.</t>
  </si>
  <si>
    <t>Gestión Ambiental efectiva</t>
  </si>
  <si>
    <t>Plan Institucional de Gestión Ambiental - PIGA diseñado</t>
  </si>
  <si>
    <t xml:space="preserve">Plan de gestión ambiental </t>
  </si>
  <si>
    <t>Diseñar el Plan Institucional de Gestión Ambiental.</t>
  </si>
  <si>
    <t>100% del Plan Institucional de Gestión Ambiental - PIGA diseñado</t>
  </si>
  <si>
    <t>Presentar el PIGA para su aprobación</t>
  </si>
  <si>
    <t>Información documental disponible</t>
  </si>
  <si>
    <t>Instrumentos archivísticos elaborados</t>
  </si>
  <si>
    <t xml:space="preserve">Elaborar el Plan Institucional de Archivos - PINAR </t>
  </si>
  <si>
    <t>Gestión documental</t>
  </si>
  <si>
    <t>Política de gestión documental</t>
  </si>
  <si>
    <t>100% de los Instrumentos archivísticos elaborados</t>
  </si>
  <si>
    <t>Elaborar el Programa de Gestión Documentar - PGD de la UBPD</t>
  </si>
  <si>
    <t xml:space="preserve">Elaboración I Fase Tablas de Retención Documental </t>
  </si>
  <si>
    <t>Plan Estratégico de Gestión Humana Implementado</t>
  </si>
  <si>
    <t>% de cargos vacantes provistos de manera oportuna</t>
  </si>
  <si>
    <t xml:space="preserve">Plan anual del Vacantes y previsión de recursos humanos </t>
  </si>
  <si>
    <t>Revisar los perfiles y funciones de acuerdo con el requerimiento del área donde está la vacante y determinar los recursos necesarios para su provisión.</t>
  </si>
  <si>
    <t>Subdirección de Gestión Humana</t>
  </si>
  <si>
    <t>Política de gestión humana</t>
  </si>
  <si>
    <t>100% de cargos vacantes provistos de manera oportuna</t>
  </si>
  <si>
    <t>Realizar las acciones para la provisíón del cargo.</t>
  </si>
  <si>
    <t>% de servidores capacitados</t>
  </si>
  <si>
    <t>Plan de capacitación</t>
  </si>
  <si>
    <t>Formular el plan y las estrategias de capacitación</t>
  </si>
  <si>
    <t>Capacitar al 70% de los servidores públicos en 2019</t>
  </si>
  <si>
    <t>Ejecutar y evaluar el plan de capacitación</t>
  </si>
  <si>
    <t>% del plan de bienestar social y estímulos implementado</t>
  </si>
  <si>
    <t>Plan de bienestar social y estímulos</t>
  </si>
  <si>
    <t>Identificar las necesidades de bienestar.</t>
  </si>
  <si>
    <t>100% del plan de bienestar social y estímulos implementado</t>
  </si>
  <si>
    <t>Formular e implementar el plan y las estrategias de Bienestar social y estímulos.</t>
  </si>
  <si>
    <t>Ejecutar y evaluar el plan de bienestar social y estímulos.</t>
  </si>
  <si>
    <t>% del Sistema de Seguridad y Salud en el trabajo implementado</t>
  </si>
  <si>
    <t>Sistema de Seguridad y Salud en el trabajo</t>
  </si>
  <si>
    <t xml:space="preserve">Formular e implementar el sistema de seguridad y salud en el trabajo </t>
  </si>
  <si>
    <t>70% del sistema de seguridad y salud en el trabajo implementado a diciembre de 2019</t>
  </si>
  <si>
    <t>Ejecutar y evaluar el plan de seguridad y salud en el trabajo</t>
  </si>
  <si>
    <t>% del Código de Integridad Implementado</t>
  </si>
  <si>
    <t xml:space="preserve">Código de integridad </t>
  </si>
  <si>
    <t xml:space="preserve">Realizar un Diagnóstico para la construcción de valores </t>
  </si>
  <si>
    <t>Política de Integridad</t>
  </si>
  <si>
    <t>100% del código de integridad implementado a diciembre de 2019</t>
  </si>
  <si>
    <t>Expedir el código de integridad e iniciar las actividades de socialización</t>
  </si>
  <si>
    <t>Herramientas de medición del clima laboral implementada</t>
  </si>
  <si>
    <t>Medición del Clima Laboral.</t>
  </si>
  <si>
    <t>Definir la herramienta de medición</t>
  </si>
  <si>
    <t>1 Herramienta de medición del clima laboral Implementada</t>
  </si>
  <si>
    <t xml:space="preserve">Implementar la herramienta de medición </t>
  </si>
  <si>
    <t>Realizar el análisis y comunicación de resultados.</t>
  </si>
  <si>
    <r>
      <t>Los indicadores en este color, además del Plan de Acción, también hacen parte del proyecto de inversión con código BPIN 898: “</t>
    </r>
    <r>
      <rPr>
        <i/>
        <sz val="12"/>
        <rFont val="Arial Narrow"/>
        <family val="2"/>
      </rPr>
      <t>Fortalecimiento de la Unidad de Búsqueda de Personas dadas por Desaparecidas nacional</t>
    </r>
    <r>
      <rPr>
        <sz val="12"/>
        <rFont val="Arial Narrow"/>
        <family val="2"/>
      </rPr>
      <t>”.</t>
    </r>
  </si>
  <si>
    <r>
      <t>Los indicadores en este color, además del Plan de Acción, también hacen parte del proyecto de inversión con código BPIN 907: “</t>
    </r>
    <r>
      <rPr>
        <i/>
        <sz val="12"/>
        <color theme="1"/>
        <rFont val="Arial Narrow"/>
        <family val="2"/>
      </rPr>
      <t>Implementación de procesos humanitarios y extrajudiciales de búsqueda de personas dadas por desaparecidas en razón y en contexto del conflicto armado colombiano nacional</t>
    </r>
    <r>
      <rPr>
        <sz val="12"/>
        <color theme="1"/>
        <rFont val="Arial Narrow"/>
        <family val="2"/>
      </rPr>
      <t>”.</t>
    </r>
  </si>
  <si>
    <t>NOTA 1: El indicador 72 reemplazó al número 35, pero no conserva el consecutivo por ser numeración única.</t>
  </si>
  <si>
    <t>NOTA 2: En Comité del 9 de octubre de 2019 se eliminó el indicador 38, por lo que en los consecutivos se pasa del número 37 al 39.</t>
  </si>
  <si>
    <t xml:space="preserve">Correo de envío de encuesta y Analisis Preliminar encuesta Resiliencia </t>
  </si>
  <si>
    <t xml:space="preserve">Se efectuó encuesta de resilencia emocional el día 3 de septimebre como insumo de la medición de clima laboral, la cual está en proceso de tabulación e informes de cada una de las variables. </t>
  </si>
  <si>
    <t>Óptimo</t>
  </si>
  <si>
    <t>1 Herramientas de medición del clima laboral Implementadas</t>
  </si>
  <si>
    <t>No aplica, debido a que la meta prevista es cero, sin embargo, se sugiere aplicar la medición del clima laboral al iniciar el 3er trimestre, toda vez que la misma debe ser evaluada y durante la culminación del 3er trimestre deben ser tomadas acciones de mejora con relación a la medición realizada.</t>
  </si>
  <si>
    <t>No reporta</t>
  </si>
  <si>
    <t>La actividad se tiene prevista para el tercer trimestre del año.</t>
  </si>
  <si>
    <t>No Aplica</t>
  </si>
  <si>
    <t>0 Herramientas de medición del clima laboral Implementadas</t>
  </si>
  <si>
    <t>No aplica, debido a que la meta prevista es cero. Sin embargo, se sugiere que durante el segundo trimestre se realice la selección o diseño de la herramienta para aplicar la medición del clima laboral, toda vez que para el tercer trimestre ya debe tener la condición de implementada.</t>
  </si>
  <si>
    <t>No reporta avances cualitativos</t>
  </si>
  <si>
    <t>Sin soportes</t>
  </si>
  <si>
    <t>El 6 de junio se presentó al Comité de Gestión el proceso para trabajar el código de integridad. De esta forma se efectuó reunión el 27 de junio y se inició el proceso de consolidación de valores para presentar en el próximo comité de gestión.  La Oficina de gestión del Conocimiento no estuvo de acuerdo de trabajar con este código de MIPG y solicitó esperar la formulación de la naturaleza juridica de la UBPD antes de dar continuidad al tema.  En comité del  día 24 de julio de 2019 la Oficina  Asesora Jurídica efectuó una presentación sobre la naturaleza juridica de la UBPD y consideró que cada área debe presentar su propuesta de políticas a la luz de la naturaleza especial de la entidad, sobre el cual se emitiría un concepto. Posteriormente se informó que no se emitiría concepto y que se trabajara con la presentación.</t>
  </si>
  <si>
    <t>Crítico</t>
  </si>
  <si>
    <t>0% del código de integridad implementado</t>
  </si>
  <si>
    <t>55% del código de integridad implementado</t>
  </si>
  <si>
    <t>El indicador se encuentra en nivel óptimo de cumplimiento, sin embargo, conforme a las actividades previstas en el plan de acción, expedir el código de integridad durante el 3er trimestre de 2019, de tal forma, que se puedan realizar las actividades de implementación durante el último trimestre de la vigencia.</t>
  </si>
  <si>
    <t xml:space="preserve">Presentación al Comité de Gestión. </t>
  </si>
  <si>
    <t xml:space="preserve">Se presentó ante el Comité de Gestión la estrategia para la implementación del Código de Integridad en la Entidad. </t>
  </si>
  <si>
    <t>5% del código de integridad implementado</t>
  </si>
  <si>
    <t xml:space="preserve">No aplica, debido a que la meta prevista es cero. </t>
  </si>
  <si>
    <t>1. Actividades de promoción y prevención.
2.Conformación Comité de Convivencia
3.Conformación COPASST
4.Matriz de Indicadores
5.Mecanismos de Comunicación
6.Plan de Emergencias
7.Procedimiento Gestión del Cambio
8.Profesiograma
9.Programa de Hábitos Saludables</t>
  </si>
  <si>
    <t>Se dio cumplimiento de la meta para el tercer trimestre de acuerdo con el plan de trabajo para la implementación del SG-SST, a continuación, se describe las actividades realizadas durante el trimestre:
• Se conformaron los siguientes comités: Comité Paritario de Seguridad y Salud en el Trabajo (COPASST) y Comité de Convivencia Laboral, los cuales ya se encentran en funcionamiento.
• Se establecieron los mecanismos de comunicación frente al SG-SST, este ya fue revisado por la Subdirección de Gestión Humana, sin embargo, se espera en el mes de octubre presentar la matriz a la Oficina de Comunicaciones y Pedagogía.
• Se realiza el seguimiento de la inclusión de los lineamientos a los contratos de prestación de servicios de personas naturales, en el 4 trimestre se verificará la inclusión a los contratos como vehículos, servicios generales, instalaciones entre otras.
• Se estructuró el procedimiento para la gestión del cambio dirigido a SST, y se solicitó su creación y aprobación en el Sistema de Gestión el 16 de octubre.
• Actividades de prevención y promoción:  Pausa activas (3 sesiones), Jornada de vacunación contra fiebre amarrilla, influenza, sarampión y tétano. Capacitación brigada de emergencias (contraincendios).
• Se dio inicio con el proceso de contratación del profesiograma, en la actualidad se cuenta con la ficha técnica para realizar el proceso de cotización y levantamiento del estudio de mercado que fue radicada para el correspondiente estudio de mercado el 25 de septiembre
• Se estructuro el programa de hábitos y estilos de vida saludables, se solicitó su creación y aprobación en el Sistema de Gestión el 23 de octubre.
• Se estableció el plan de emergencia para la sede de Bogotá del cual se solicitó su creación y aprobación en el Sistema de Gestión el día 17 de septiembre, pero se aprobó hasta el 11 de octubre.
• Se diseñó la Matriz de indicadores del SG-SST (Estructura-Proceso y Resultado).</t>
  </si>
  <si>
    <t>Riesgo</t>
  </si>
  <si>
    <t>5,5% del sistema de seguridad y salud en el trabajo implementado</t>
  </si>
  <si>
    <t>12% del sistema de seguridad y salud en el trabajo implementado</t>
  </si>
  <si>
    <t>El indicador se encuentra en nivel óptimo de cumplimiento, sin embargo, se sugiere realizar un cronograma detallado para el cumplimiento de los 11 hitos planteados para el 3er trimestre. Así mismo, identificar en que casos se requiere documentar estas actividades en el sistema de gestión
NOTA: Tenga presente que este indicador se encuentra asociado al Proyecto de Inversión BPIN 2018011000898 específicamente en el producto Servicio de Implementación del sistema de gestión. Por lo tanto, la información reportada en el Plan de Acción debe corresponder con el avance obtenido en este indicador y reportado mensualmente durante el seguimiento a proyectos de inversión en el SPI.</t>
  </si>
  <si>
    <t>1. Presentacion de la induccion modulo SG-SST.
2. Registros de asistencia de las inducciones.</t>
  </si>
  <si>
    <t>Se realizó la divulgación de la Política, objetivos, responsabilidades de Seguridad y Salud en el Trabajo, al igual que los riesgos asociados a las labores, el procedimiento para el reporte de accidentes de trabajo y lineamientos básicos de emergencias, por medio de las diferentes jornadas de inducción que se realizaron en los meses de abril, mayo y junio.</t>
  </si>
  <si>
    <t>2% del sistema de seguridad y salud en el trabajo implementado</t>
  </si>
  <si>
    <t>El indicador se encuentra en cumplimiento (nivel óptimo). Sin embargo, es necesario validar la meta anual proyectada, toda vez que en el primer trimestre se cumplió el 47,1% del 70% previsto, generando un riesgo de incurrir en nivel de cumplimiento subestimado. En tal caso, es necesario solicitar la modificación al plan de acción en las fechas que defina la Oficina Asesora de Planeación</t>
  </si>
  <si>
    <t xml:space="preserve">1. Estudios previos proceso exámenes médicos.
2. Procedimiento realización de exámenes médicos 
3. Resolución Política objetivos y responsabilidades, 
4. Reglamento de higiene y seguridad Industrial. 
5. Resolución convocatoria COPASST, 
6. Resolución conformación COPASST, 
7. Matriz de Identificación de Riesgos, 
8. Procedimiento Reporte e Investigación de Accidentes, </t>
  </si>
  <si>
    <t>Se realizó la autoevaluación y se efectuaron los proyectos de resolución de política, objetivos y responsabilidades del Sistema de Gestión, reglamento de higiene y seguridad industrial, convocatoria y conformación del Comité Paritario de Seguridad y Salud en el Trabajo y del Comité de Convivencia Laboral. 
Se realizó la identificación, evaluación y valoración de los riesgos de cada una de las áreas. Se estableció el procedimiento de realización de exámenes médicos ocupacionales y se inició el proceso de contratación de exámenes médicos. 
Se cuenta con el procedimiento para el reporte e investigación de accidentes de trabajo.</t>
  </si>
  <si>
    <t>33% del sistema de seguridad y salud en el trabajo implementado</t>
  </si>
  <si>
    <t>Resolución 695 de 2019 "por medio de la cual se establece el horario de trabajo para los servidores(as) públicos de la UBPD y se dictan otras disposiciones" y Resolución 696 "por medio de la cual se adoptan algunos estímulos para los servidores(as) de la UBPD y se dictan otras disposicioes.", listados de asistencia de los diálogos de equipos, correo y registro fotográfico de amor y amistad, acta aplazamiento de semana de la salud.</t>
  </si>
  <si>
    <t>Se publicó la resolución de horario flexible y de estímulos el 22 de julio por parte de la Directora General para los servidores de la UBPD. Se realizaron 14 diálogos de equipo en el nivel central y territorial. El 20 de septiembre se envió mensaje de amor y amistad a todos los servidores entregando un detalle alusivo al día. No se realizó la semana de la salud ya que no existe un espacio apropiado para recibir a todos los servidores que deseen participar, por tal motivo se decide aplazar la semana de la salud hasta que la UBPD se traslade y habilite espacios adecuados. Las demás actividades hacen parte del proceso de contratación que aún no se ha adjudicado, razón por la cual no se realizaron.</t>
  </si>
  <si>
    <t>10% del plan de bienestar social y estímulos implementado</t>
  </si>
  <si>
    <t>30% del plan de bienestar social y estímulos implementado</t>
  </si>
  <si>
    <t>El indicador se encuentra en nivel óptimo de cumplimiento, sin embargo, se sugiere elaborar una matriz para registrar y consolidar las evaluaciones de cada actividad de bienestar y de estimulos realizada. Esta sugerencia se realiza en el marco de la actividad descrita en el plan de acción 2019</t>
  </si>
  <si>
    <t xml:space="preserve">1. Plan de Bienstar Social y Estímulos 2019_V1, 
2. Presentación al Comité de Gestión, 
3. Resultados Encuesta Laboral, 
4. Memorando Directora General, Día del Servidor Público </t>
  </si>
  <si>
    <t xml:space="preserve">Se presentó ante el Comité de Gestión el Plan de Bienestar Social y Estímulos que tuvo una aprobación general, no obstante, la Directora General se encuentra revisando a detalle cada actividad (se presentan los resultado de la encuesta laboral), se remitió a la Directora General un memorando con todas las actividades del Plan de Bienestar para su revisión y aprobación final. El día 27 de junio se celebró el Día del Servidor Público. </t>
  </si>
  <si>
    <t>20% del plan de bienestar social y estímulos implementado</t>
  </si>
  <si>
    <t>El indicador se encuentra en cumplimiento (nivel óptimo) de acuerdo al porcentaje proyectado, sin embargo, se sugiere realizar la aprobación del plan de bienestar institucional en el segundo trimestre 2019, para no generar un rezago general de la meta anual.</t>
  </si>
  <si>
    <t>1. Correo de encuesta</t>
  </si>
  <si>
    <t>Del 18 al 22 de marzo se realizó la encuesta de calidad de vida - programa de bienestar para establecer las necesidades que se recolectarán en el Plan de Bienestar</t>
  </si>
  <si>
    <t>Listados de asistencia, correos de inscripción, certificados de asistencia</t>
  </si>
  <si>
    <t>Se realizaron 21 actividades en el tercer trimestre: cinco jornadas de inducción, Curso Virtual Lenguaje Claro, Primer Encuentro de Equipo Transversal de Jefes Jurídicos y Defensa Jurídica, Conferencia: Contexto Nacional de la Desaparición y Línea de Tiempo Normativa, Curso virtual: Entes de Control más cerca de la compra pública, Fortalecimiento en el manejo de SIRDEC, Conferencia: DIH, Acuerdo de La Habana y la UBPD como mecanismo del Sistema Integral de Verdad, Justicia, Reparación y No Repetición (SIVJRNR)., Entrenamiento en gestión de datos y análisis estadístico con apoyo de Stata 16, Taller: Lenguaje Claro y PQRSD, Implementación, evaluación y seguimiento de estándares mínimos resolución 0312 de 2019 (con alternativas para mejorar el plan anual de trabajo), Conferencia: Los Mecanismos del SIVJRNR, Capacitación en Seguridad Digital, Conferencia: Introducción. La búsqueda desde la experiencia forense. Antecedentes y retos para la búsqueda y su complejidad, Jornada de Capacitación  de eKOGUI – Control Interno, Módulos y Funcionalidades, Registro Nacional de Bases de Datos – grupo 1, Seminario Taller Actualización Marco Normativo Contable, Registro Nacional de Bases de Datos – grupo 2</t>
  </si>
  <si>
    <t>20 Servidores públicos capacitados</t>
  </si>
  <si>
    <t>60 Servidores públicos capacitados</t>
  </si>
  <si>
    <t>El indicador se encuentra en nivel óptimo de cumplimiento, sin embargo, se sugiere elaborar una matriz para registrar y consolidar las evaluaciones de cada capacitación realizada. Esta sugerencia se hace en el marco de la actividad descrita en el plan de acción 2019</t>
  </si>
  <si>
    <t>Listados de asistencia</t>
  </si>
  <si>
    <t>Se realizaron diez actividades de capacitación durante el segundo trimestre: tres jornadas de inducción, capacitación SECOP II, capacitación en Plan View, capacitación supervisión de contratos, capacitación en gestión del riesgo, capacitación comisiones de servicio, capacitación Ley de Transparencia y capacitación en GSuite. El consolidado de asistencia arroja como resultado que 127 servidores fueron capacitados (sin repetir)</t>
  </si>
  <si>
    <t>127 Servidores públicos capacitados</t>
  </si>
  <si>
    <t>Meta en nivel crítico, la ejecución del periodo fue del 33,3%. Sugerimos que la ejecución no realizada se concentre en el segundo trimestre 2019. Conforme al PIC aprobado, se sugiere revisar y ajustar las metas o el indicador tan pronto como la Oficina Asesora de Planeación indique las fechas para realizar modificaciones al Plan de Acción.</t>
  </si>
  <si>
    <t>1. Listados de asistencia</t>
  </si>
  <si>
    <t>La inducción estaba planeada para la última semana de marzo, pero por definición del Plan de Capacitación se corrió para el mes de abril. Sin embargo, se realizaron tres actividades de capacitación: capacitación en la herramienta ArcGIS (sistema que permite recopilar, organizar, administrar, analizar, compartir y distribuir información geográfica) y capacitación en G Suite (servicio de Google que reúne sus productos con nombre de dominio personalizado. En total se capacitaron 52 servidores</t>
  </si>
  <si>
    <t>40 Servidores públicos capacitados</t>
  </si>
  <si>
    <t>45 servidores públicos capacitados</t>
  </si>
  <si>
    <t>Novedades planta trimestre 3, Acta de Reunión 001 - Provisión Planta 2019</t>
  </si>
  <si>
    <t xml:space="preserve">El mes de julio inició con 40 vacantes. Sin embargo, el 31 de julio de 2019 el Ministerio de Hacienda aprobó la asignación de recursos para cubrir el faltante de la financiación del plan de vinculación, 203 cargos, para el total de los 417 cargos contemplados en la gradualidad 2018-2019. Por lo anterior y luego de proveer 27 cargos en el tercer trimestre y del retiro de 6 servidores de la UBPD, quedan 222 vacantes al inicio del último trimestre del 2019. El indicador entonces se calcula así: 27 cargos provistos, sobre 222 vacantes al 30 de septiembre, para un total de 12,2%. </t>
  </si>
  <si>
    <t>No es Acumulado</t>
  </si>
  <si>
    <t>12,2% de cargos vacantes provistos de manera oportuna</t>
  </si>
  <si>
    <t>El indicador se encuentra en riesgo de cumplimiento. Se sugiere continuar con la alimentación del banco de hojas de vida de la UBPD, en especial para cargos misionales, de tal forma, que se cuente con los perfiles antes y durante la aprobación de cargos vacantes y adicionales para la UBPD. Esto minimizará los tiempos durante el proceso de incorporación.</t>
  </si>
  <si>
    <t>Novedades planta trimestre 2</t>
  </si>
  <si>
    <t>De 103 vacantes con las que se inicio el mes de abril de 2019, al 30 de junio de 2019 se reportan 40 vacantes. Estos cargos fueron provistos en las siguientes proporciones por cada uno de los meses del segundo trimestre del año así: 8 cargos provistos en abril, 44 cargos provistos en mayo y 11 cargos provistos en junio; para un total en el trimestre de 63 cargos provistos. Esto da un cumplimiento trimestral del 61%</t>
  </si>
  <si>
    <t>61% de cargos vacantes provistos de manera oportuna</t>
  </si>
  <si>
    <t>Meta en nivel crítico. Se sugiere: 1. Que la ejecución no realizada del 100% se concentre en el segundo trimestre 2019, para contribuir con el indicador 060 relacionado con la ejecución presupuestal; 2. Incluir en los avances cualitativos el número de vacantes y cargos provistos cada periodo; 3. Mencionar las dificultades que tuvo el área para el cumplimiento.</t>
  </si>
  <si>
    <t>1. Plan de vinculación
2. Resolución 060 del 22 de febrero de 2019</t>
  </si>
  <si>
    <t>El Plan de Vinculación se adoptó el 22 de febrero y a partir de ese momento hasta el 31 de marzo, no se han generado ingresos. En este periodo se inició con el proceso de recolección de hojas de vida.</t>
  </si>
  <si>
    <t>0% de cargos vacantes provistos de manera oportuna</t>
  </si>
  <si>
    <t>1. Soportes Diagnóstico
2. Soportes PINAR
3. Soportes Programa de Gestión Documental
4. Soportes TRD</t>
  </si>
  <si>
    <t>De conformidad con el indicador para el tercer trimestre del cual se tiene como meta programada el 54,2%, se indica un cumplimiento optimo correspondiente al 40% , de lo cual se evidencia la ejecución de las siguientes actividades alienadas con los hitos establecidos para el proceso que se describen a continuación: 1) Elaboración del diagnóstico integral de archivos: se cuenta con un avance porcentual al 7% inferior al programado, dado que hace falta terminar la consolidación de información de la parte misional. 
2) Elaboración del Plan Institucional de Archivos – PINAR: se cuenta con un avance del 5%, si bien es cierto el hito fue valorado con un 20%, se evidencia que el  periodo de desarrollo de la actividad es del 26/09/2019 al 20/11/2019; por ende el avance más representativo se evidenciará en el cuarto trimestre, conforme a las fechas establecidas. Es importante señalar que la fecha de corte del tercer trimestre es el 30/09/2019 y el PINAR se inició el día 26/09/2019, por lo cual el periodo de desarrollo de la actividad solo fue de 4 días.
3) Elaboración del Programa de Gestión Documental – PGD: se cuenta con un avance porcentual esperado y programado igual al 10%, por lo tanto, se da cumplimiento al mismo en las fechas previstas.
4) Levantamiento y análisis de información de la I fase de elaboración de las TRD: Se cuenta con un avance porcentual del 18%, el cual evidencia un porcentaje superior al programado en el avance de la actividad, conforme a la elaboración del Cuadro de Clasificación Documental.</t>
  </si>
  <si>
    <t>40% de los Instrumentos archivísticos elaborados</t>
  </si>
  <si>
    <t>54,2% de los Instrumentos archivísticos elaborados</t>
  </si>
  <si>
    <t>Una vez aprobados en el comité de gestión los cambios de este indicador, se encuentra en avance óptimo de cumplimiento, toda vez que para este trimestre no contaba con meta prevista. Finalmente, se sugiere que durante la construcción de los instrumentos archivisticos sean contemplados y alineados el inventario de activos de información y el índice de información clasificada y reservada de los documentos que maneja la UBPD
NOTA: Tenga presente que este indicador se encuentra asociado al Proyecto de Inversión BPIN 2018011000898 específicamente en el producto Servicio de Implementación del sistema de gestión. Por lo tanto, la información reportada en el Plan de Acción debe corresponder con el avance obtenido en este indicador y reportado mensualmente durante el seguimiento a proyectos de inversión en el SPI.</t>
  </si>
  <si>
    <t>Se adjunta plan de trabajo de Gestión Documental</t>
  </si>
  <si>
    <t>Para el segundo trimestre, de conformidad con lo programado y equivalente al 0%, se señala para el indicador que, sin perjuicio del dato porcentual reflejado, se han adelantado las siguientes actividades: 1) Se cuenta con un plan de trabajo establecido de Gestión Documental, el cual se encuentra alineado con el plan de acción de la vigencia 2019. 2) De acuerdo con la elaboración de los instrumentos archivísticos PINAR-PGD y primera fase de levantamiento de información de las Tablas de Retención Documental TRD, la ejecución de las mismas serán evidenciadas y reportadas en el tercer trimestre del año. Dado lo anteriormente descrito, la SAF a través del proceso de Gestión Documental se encuentra desarrollando las actividades dentro de los términos acorde con los plazos establecidos conforme al ajuste realizado en el plan de acción 2019</t>
  </si>
  <si>
    <t>0% de los Instrumentos archivísticos elaborados</t>
  </si>
  <si>
    <t>Meta con nivel de cumplimiento en riesgo, debido a que no se diseñó el Programa de Gestión Documental. Se sugiere que la ejecución acumulada no realizada del 15% se concentre en el segundo trimestre 2019, para no generar un rezago general de la meta anual. Revisar el tiempo asignado para "enviar al archivo general de la nación para revisión"; esas observaciones toman mas de 15 días.</t>
  </si>
  <si>
    <t>1. PINAR V1
2. Documento TRD Elaborado 
3. Cuadro de Clasificación documental. 
4. Documento Protocolo de Gestión Documental Elaborado.</t>
  </si>
  <si>
    <t xml:space="preserve">A la fecha se cumple con el diseño de los instrumentos PINAR - PGD - TRD como se encontraba previsto. La SAF se encuentra al día en cuanto al cumplimiento de los plazos establecidos para dar continuidad al proceso de aprobación e implementación de los mismos. </t>
  </si>
  <si>
    <t>23% de los Instrumentos archivísticos elaborados</t>
  </si>
  <si>
    <t>6% de los Instrumentos archivísticos elaborados</t>
  </si>
  <si>
    <t>1. Plan de Acción PIGA con soportes
2. Soportes Revisión y Aprobación</t>
  </si>
  <si>
    <t>De acuerdo con indicador 064 de la respectiva ficha, para el tercer trimestre se desarrollaron los siguientes hitos: Se logró la contratación de la profesional para apoyar la gestión de las siguintes actividades i) Diseñar el PIGA (Plan de Acción + Indicadores + Programas): Se diseñó el Plan Institucional de Gestión Ambiental- PIGA de la Entidad, como documento de planificación de la gestión ambiental de la UBPD, adaptando los lineamientos establecidos en la Resolución 242 de 2014 de la Secretaría Distrital de Ambiente. El documento contiene (Plan de Acción + Indicadores + Programas).
ii) Hito Revisar y aprobar del PIGA: En el desarrollo de la actividad, se ejecutaron las siguientes acciones: Remitir vía correo electrónico el PIGA a las coordinaciones de las sedes territoriales para revisión y aportes. Se realizaron los ajustes con base en las observaciones remitidas. Se remitió vía correo electrónico el PIGA a la Subdirección Administrativa y Financiera para revisión. Se remitieron a la Oficina Asesora de Planeación los procedimientos y matrices que hacen parte del PIGA para revisión, elaboración de flujograma y codificación. Se remitió a la Subdirección Administrativa y Financiera la política de gestión ambiental para revisión y posterior presentación ante el Comité de Gestión.  
iii) Con base en lo establecido en el Artículo 2 de la Resolución 242 de 2014 “Por la cual se adoptan los lineamientos para la formulación, concertación, implementación, evaluación, control y seguimiento del Plan Institucional de Gestión Ambiental –PIGA” - de la Secretaría Distrital de Ambiente y el Decreto 165 de 2015 de la Alcaldía Mayor de Bogotá, el Plan Institucional de Gestión Ambiental de la UBPD no debe ser presentado a la Secretaría Distrital de Ambiente para su aprobación, no requiere los ajustes de acuerdo con las observaciones de la SDA y no requiere la conformación del comité de gestión ambiental. No obstante, la UBPD elaboró el Plan Institucional de Gestión Ambiental- PIGA, como un documento de planificación de la gestión ambiental de la Entidad, el cual contiene además de los 5 elementos referenciados en el Artículo 8 de la resolución en mención, los responsables para la garantizar la efectiva gestión ambiental de la Entidad. 
Conforme lo anteriormente descrito, estos hitos no serán reportados y se gestionará la modificación de los mismos en el plan de acción.
En este orden para el trimestre correspondiente se alcanza una ejecución del 45% con un nivel en riesgo, por lo cual con el ajuste que se logre en el plan de acción se dará cumplimiento a la implementación del PIGA para el reporte final.</t>
  </si>
  <si>
    <t>45% del Plan Institucional de Gestión Ambiental - PIGA diseñado</t>
  </si>
  <si>
    <t>20% del Plan Institucional de Gestión Ambiental - PIGA diseñado</t>
  </si>
  <si>
    <t>El indicador se encuentra en nivel crítico de cumplimiento, por lo anterior, se sugiere contemplar planes de contingencia para poder cumplir la meta prevista. Así mismo, considerar modelos de gestión ambiental similares en otras entidades del Estado de tal forma que puedan adaptarse y adoptarse en lo que resta de la vigencia.
NOTA: Tenga presente que este indicador se encuentra asociado al Proyecto de Inversión BPIN 2018011000898 específicamente en el producto Servicio de Implementación del sistema de gestión. Por lo tanto, la información reportada en el Plan de Acción debe corresponder con el avance obtenido en este indicador y reportado mensualmente durante el seguimiento a proyectos de inversión en el SPI.</t>
  </si>
  <si>
    <t>Se precisa para el periodo de medición la imposibilidad de avance en materia, dado que no se ha logrado la contratación del profesional que gestione los hitos contemplados para el cumplimiento del indicador, lo anterior teniendo en cuenta que sobre las personas entrevistadas, y luego de valoradas sus hojas de vida, no se ha encontrado el perfil que cumpla con los requisitos definidos para tal fin, por lo cual, en aras de garantizar la idoneidad del profesional, a corte del presente reporte, se encuentra en proceso de selección.</t>
  </si>
  <si>
    <t>0% del Plan Institucional de Gestión Ambiental - PIGA diseñado</t>
  </si>
  <si>
    <t>40% del Plan Institucional de Gestión Ambiental - PIGA diseñado</t>
  </si>
  <si>
    <t>No aplica, debido a que la meta prevista es cero. Sin embargo se sugiere revisar los hitos planteados, toda vez que en este avance se menciona que iniciarán con el proceso de selección en el 2do trimestre, pero a su vez, a partir del 01 de abril se tiene proyectado el hito para iniciar el diseño del PIGA (Plan de Accion + Indicadores + Programas).</t>
  </si>
  <si>
    <t>0% de Plan Institucional de Gestión Ambiental - PIGA diseñado</t>
  </si>
  <si>
    <t>1. Correos y Memorandos
2. Seguimiento Plan de Trabajo 
3. Soportes documentales</t>
  </si>
  <si>
    <t>De acuerdo con indicador 063 de la respectiva ficha, para el tercer trimestre se programó un avance del 39%, el cual se evidencia de la siguiente manera: 
i) Tramite de ajustes del documento de Política de Servicio al Ciudadano, del cual es preciso indicar que, una vez llevada a cabo la presentación en el Comité de Gestión del 25 de junio, el documento fue remitido a las dependencias con los ajustes incorporados y nuevas retroalimentaciones de las cuales fueron recibidas y adoptadas por la Dirección de Participación, Gestión del Conocimiento, OTI, Oficina de Comunicaciones. Sin perjuicio de lo anterior solo hasta el 30 de septiembre de 2019 fueron remitidas las observaciones de la Oficina Asesora Jurídica sobre la Política de Servicio al Ciudadano pese a las tres solicitudes elevadas a través de Memorandos 18062019-210-3-694 del 18 de junio de 2019, Memorando 17072019-210-3-851 de 17 de julio, Correo electrónico del 21 de agosto de 2019 y Memorando 160-3-201901328 del 9 de septiembre de 2019. 
Actualmente la Política fue ajustada y se adjunta al presente reporte para verificación, por lo cual se da cumplimiento al avance porcentual establecido para el hito. 
ii) Presentación al comité de gestión:  el documento elaborado fue presentado en su primera versión en el Comité del 25 de junio, sin embargo, hasta el 30 de septiembre se recibieron las recomendaciones de la Oficina Asesora Jurídica razón por la cual la Política no ha sido nuevamente propuesta en Comité, y se espera la programación en sesión de octubre para gestionar su respectiva aprobación.
iii) Elaboración del acto administrativo para su adopción: Dadas las situaciones expuestas anteriormente, no se evidencia ejecución del hito al respecto. 
iv) Presentar el plan de Servicio al Ciudadano para aprobación: el plan de trabajo se encuentra aprobado por la Secretaría General y la Subdirección Administrativa y Financiera de lo cual media acta de validación del 13 de junio de 2019, en este orden se cumple con el porcentaje del 10% establecido y programado. V) Realizar seguimiento al plan de servicio al ciudadano: El proceso de servicio al ciudadano ha llevado a cabo los seguimientos correspondientes con el equipo de trabajo, los cuales se relacionan a continuación: estado de avance cualitativo y cuantitativo con corte del 13 mayo al 13 de junio de 2019, estado de avance cualitativo y cuantitativo con corte de verificación del 14 junio al 13 de julio de 2019 y estado de avance cualitativo y cuantitativo con corte de verificación del 14 julio al 1 de octubre de 2019; en este orden se cumple con el porcentaje del 5% establecido y programado.
En este orden para el trimestre correspondiente se alcanza una ejecución del 12% trimestral y del 48% total acumulado para la vigencia. Se proyecta el logro a satisfacción del indicador al final de la vigencia, dando cumplimiento a los hitos que no fueron logrados en el actual trimestre por las razones expuestas anteriormente.</t>
  </si>
  <si>
    <t>12% de la política de servicio al ciudadano adoptada</t>
  </si>
  <si>
    <t>39% de la política de servicio al ciudadano adoptada</t>
  </si>
  <si>
    <t>El indicador tiene un nivel de cumplimiento óptimo, inclusive cuenta con victorias tempranas superiores al 10% de lo proyectado. Sin embargo, se sugiere nuevamente someter a consideración del comité de gestión esta política, la cual entre otras cosas tambien da cumplimiento al indicador 058 de la SG.</t>
  </si>
  <si>
    <t>1. Plan de Trabajo de Servicio al Ciudadano
2. Acta de aprobación del Plan de Trabajo
3. Documento Política de Servicio al Ciudadano
4. Memorando 18162019-210-3-694 de fecha 18/06/2019</t>
  </si>
  <si>
    <t>De conformidad con el indicador para el segundo trimestre del cual se tiene como meta programada el 21%, se indica un cumplimiento óptimo y superior al planeado correspondiente al 31% de lo cual se evidencia la ejecución de las siguientes actividades y las cuales se encuentran alienadas con los hitos establecidos para el proceso que se describen a continuación: 1) Elaboración del documento de política de Servicio al Ciudadano: se cuenta con un avance porcentual esperado y programado igual al 10%, de lo cual media como evidencia el documento elaborado conforme la política de operación de servicio al ciudadano y sus componentes estratégicos. 2) Trámite de ajustes al documento: documento fue objeto de recomendaciones, aclaraciones y ajustes del cual conforme lo programado presenta el avance respetivo al 3%. 3) Presentación de la Política de Servicio al Ciudadano al comité de Gestión: el documento elaborado fue presentado para revisión en el Comité de Gestión llevado a cabo el día 25 de junio de 2019, de lo cual media acta y soporte de agenda de convocatoria, sin perjuicio de lo anterior y conforme las recomendaciones recibidas, se realizan las respectivas validaciones para ser presentado en el comité siguiente y cuyo reporte se evidenciará en el tercer trimestre de la vigencia; corresponde a este un avance del 3%. 4) Elaboración del acto administrativo para su adopción: no se encuentra programado para el presente trimestre porcentaje de avance. 5) Implementación de la política: no se encuentra programado para el presente trimestre porcentaje de avance. 6) Diseñar el plan de servicio al ciudadano: El plan de trabajo de Servicio al Ciudadano fue elaborado, aprobado y está en estado de ejecución, en razón a lo anterior se logra el 10% de cumplimiento. 7) Presentar el plan para aprobación: el plan de trabajo se encuentra aprobado por la Secretaría General y la Subdirección Administrativa y Financiera de lo cual media acta de validación del 13 de junio de 2019, en este orden se cumple con el porcentaje del 10% establecido y programado para el tercer trimestre lo que denota el avance superior ejecutado para el presente reporte. 8) Realizar seguimiento al plan de servicio al ciudadano: De conformidad con la programación establecida el reporte será presentado en el tercer trimestre.
Se deja constancia que mediante memorando No. 18162019-210-3-694 de fecha 18/06/2019, fue remitida la politica de servicio al ciudadano por parte de la SAF a la OAJ para su correspondiente revisión. Texto respecto del cual, a la fecha no se cuenta con ningún pronunciamiento.</t>
  </si>
  <si>
    <t>31% de la política de servicio al ciudadano adoptada</t>
  </si>
  <si>
    <t>21% de la política de servicio al ciudadano adoptada</t>
  </si>
  <si>
    <t>El indicador se encuentra en cumplimiento (nivel óptimo) de acuerdo con los hitos planteados y al porcentaje proyectado. Los soportes ademas de guardar coherencia con lo reportado, brindan un contexto y adelanto del proceso para llegar a la meta prevista en los siguientes trimestres del año.</t>
  </si>
  <si>
    <t>1. Manual servicio al ciudadano
2. Protocolo servicio al ciudadano
3. Carta del trato digno
4. Estrategia de comunicación interna y externa de Servicio al Ciudadano
5. Formato registro PQRS
6. Plan de Acción servicio al ciudadano</t>
  </si>
  <si>
    <t>Se cumple de manera efectiva con la meta propuesta para la elaboración de la política de servicio al ciudadano de acuerdo con los tiempos establecidos, el grado de avance está acorde con lo que se había planeado para esta altura del año. 
Así mismo, se adelantó en la elaboración de los documentos tales como Protocolo de atención, Carta del trato Digno, Formato de registro de PQRS, Plan de acción.</t>
  </si>
  <si>
    <t>5% de la política de servicio al ciudadano adoptada</t>
  </si>
  <si>
    <t>1. Soportes de eventos logísticos
2. Soportes de Aseo y Cafetería
3. Soportes de Almacén</t>
  </si>
  <si>
    <t>En cumplimiento al reporte del tercer trimestre del Plan de Acción, la gestión del componente de bienes y servicios se desarrolló de la siguiente manera:
i) Para los servicios de operador logístico fueron requeridos 147 eventos desagregados así: 10 correspondientes al mes de julio, 62 correspondientes al mes de agosto y 75 correspondientes al mes de septiembre, de los cuales fueron atendidos efectivamente y conforme la programación establecida 132 eventos.
ii) En cuanto a los servicios de aseo y cafetería, mediante la orden compra N° 33792, para el mes de julio fueron requeridos 4 insumos y/o elementos, 11 para el mes de agosto y 9 para el mes de septiembre.
De lo anteriormente señalado se adjuntan las facturas efectivamente tramitadas y correspondientes de los meses de julio y agosto.
iii) En cuanto a los bienes, el trimestre presentó el siguiente comportamiento: fueron recibidas y atendidas 48 solicitudes de bienes al almacén, desagregadas así: en el mes de julio fueron atendidas 3 solicitudes, en agosto fueron atendidas 4 solicitudes y en el mes de septiembre fueron atendidas 41 solicitudes, las cuales se soportan con el respectivo comprobante de egreso.
iv) De la misma manera se realizaron 13 solicitudes de ingreso de bienes al almacén, las cuales fueron atendidas en un 100% de la siguiente manera: En el mes de julio fue atendida 1 solicitud, en agosto fueron atendidas 2 solicitudes y en septiembre fueron atendidas 10 solicitudes; solicitudes que se soportan con el respectivo comprobante de ingreso.
De lo anteriormente señalado, frente a los bienes y servicios, fueron recibidas en total 211 solicitudes de las cuales fueron atendidas durante el trimestre 195 que representa el 92,4%, resultando una gestión óptima.</t>
  </si>
  <si>
    <t>92% de las solicitudes de bienes y servicios atendidas</t>
  </si>
  <si>
    <t>90% de las solicitudes de bienes y servicios atendidas</t>
  </si>
  <si>
    <t>El indicador se encuentra en nivel de cumplimiento subestimado, toda vez que se está garantizando la entrega de todos los bienes y servicios, sin embargo, es necesario considerar para la próxima medición aquellos insumos o elementos que se solicitan inicialmente desde los pedidos de oficina y no son entregados por la no existencia o por austeridad del gasto
NOTA: Tenga presente que este indicador se encuentra asociado al Proyecto de Inversión BPIN 2018011000898 específicamente en el producto Sedes adecuadas. Por lo tanto, la información reportada en el Plan de Acción debe corresponder con el avance obtenido en este indicador y reportado mensualmente durante el seguimiento a proyectos de inversión en el SPI.</t>
  </si>
  <si>
    <t xml:space="preserve">* Solicitudes de papelería. * Actas de entrega de papelería. * Solicitudes realizadas al proveedor de elementos de cafetería. </t>
  </si>
  <si>
    <t>De conformidad con el análisis del segundo trimestre, se da un cumplimiento subestimado dada la meta establecida y equivalente al 90%, en este orden todas las solicitudes de bienes y servicios recibidas, 28 en total, fueron atendidas. Para el mes de abril se recepcionaron y atendieron 9 solicitudes, en mayo de las 14 solicitudes fueron resueltas al 100%, y en el mes de junio de las 5 solicitudes, fueron atendidas todas en su totalidad”.
Es preciso indicar que la atención se genera en razón a la disponibilidad que se tenga en cuanto a los bienes y elementos, por lo cual tanto las cantidades como solicitudes pueden variar respecto de las entregas en temas asociados en papelería como cafetería. Sin perjuicio de las recomendaciones realizadas por la Oficina Asesora de Planeación en el primer trimestre y que ha bien se tienen presentes, se precisa en el reporte que el proceso cuenta con los controles establecidos en aras de garantizar un monitoreo efectivo en cuanto a las solicitudes de bienes y servicios asociados con la gestión”</t>
  </si>
  <si>
    <t>Subestimado</t>
  </si>
  <si>
    <t>100% de las solicitudes de bienes y servicios atendidas</t>
  </si>
  <si>
    <t>El indicador se encuentra en cumplimiento (nivel óptimo) de acuerdo con el porcentaje proyectado. Sin embargo, es necesario validar la unidad de medida del indicador, de tal forma que la meta refleje directamente el número de solicitudes proyectadas y las atendidas. Revisar si es posible reformular el indicador para establecer uno que mida con mayor precisión el área de efectividad</t>
  </si>
  <si>
    <t xml:space="preserve">1. Solicitudes de papelería y actas de entrega de papelería. 
2. Solicitudes realizadas al proveedor de elementos de cafetería. </t>
  </si>
  <si>
    <t>Todas las solicitudes de bienes y servicios realizadas durante el primer trimestre han sido atendidas, sin embargo, se aclara que la atención de cada una de ellas se da en la medida de la disponibilidad que se tenga de los bienes y elementos, por esta razón, las cantidades solicitudes pueden variar respecto de las cantidades entregadas en temas como papelería y cafetería.</t>
  </si>
  <si>
    <t>1. Ejecución PAC
2. Soportes de acciones adelantadas</t>
  </si>
  <si>
    <t>En cumplimiento al reporte del tercer trimestre del Plan de Acción, se presentaron respectivamente para los meses de julio, agosto y septiembre indicadores de PAC no ejecutado del 3,3%, 3,7% y 0,1%. Para el mes de julio se evidenció un buen comportamiento en el PAC asignado, ésto debido a que se implementaron medidas para el estricto cumplimiento de este con las diferentes áreas, los cuales generan alertas respecto de los niveles de ejecución. Para los meses siguientes que componen el trimestre, se continuó con las medidas, lo que generó buenos porcentajes en el cumplimiento del PAC. 
Aunado con lo anteriormente descrito, se desplegaron las siguientes acciones para lograr una efectiva programación del Plan Anual de Caja -PAC :
i) Remisión de correo a todos los servidores, recordándoles las fechas en las cuales deben solicitar el PAC de cada mes, con el asunto “TIPS PARA APOYO FINANCIERO” enviado a través del buzón de comunicaciones UBPD.
ii) El 6 de septiembre se informó a cada uno de los supervisores mediante correo electrónico, la aprobación por parte del Ministerio de Hacienda y Crédito Público, de los recursos adicionales conforme a solicitud.
iii) El día 10 de septiembre se remitió a los supervisores desde el buzón de financiera@ubpdbusquedadesaprecidos.co., correo electrónico con el fin de recordarles el estado de ejecución de los recursos que solicitaron para el mes de septiembre. 
iv) Se realiza acompañamiento a través de la herramienta “Link - chat personal”, recordando a los enlaces y supervisores, alertas sobre los plazos para solicitar recursos.
En este orden se realiza el seguimiento periódico de los compromisos y la respectiva programación del Plan Anual de Caja.</t>
  </si>
  <si>
    <t>2,2% del PAC no utilizado</t>
  </si>
  <si>
    <t>Máximo 6% de PAC no utilizado</t>
  </si>
  <si>
    <t>El indicador se encuentra en nivel de cumplimiento crítico, en tal sentido, se sugiere que durante la solicitud de PAC mensual, sean consideradas únicamente las facturas y conceptos con certeza de pago en el mismo periodo. Así mismo, considerar tiempos de corte para la incluisión en PAC por conceptos de vinculación de nuevo personal.</t>
  </si>
  <si>
    <t>Reporte de solicitud de PAC y de pagos efectivos realizados cada mes. (SIIF)</t>
  </si>
  <si>
    <t>“Durante el segundo trimestre de la vigencia, se presentaron respectivamente para los meses de abril, mayo y junio indicadores de cumplimiento del 6.5%, 16% y 7.1%. Para el mes de abril se evidenció un uso adecuado de los recursos programados. Se indica para el mes de mayo y junio un nivel de cumplimiento crítico, para lo cual se presentan los factores que incidieron en dicha situación: 1. En lo correspondiente a las facturas de servicios de conectividad, arrendamiento de equipos y soporte, se tenía estimado y programado por parte del supervisor del contrato el pago de las facturas del consumo o servicios del mes, sin embargo, estas no fueron suministradas en los plazos establecidos para el pago. 2. Dada la dinámica de vinculación de la entidad, la cual no se ha generado en la gradualidad programada, esta situación incidió directamente en la programación de los recursos para el pago de la nómina, en tanto la Subdirección Administrativa y Financiera recibió la programación según la solicitud de la Subdirección de Gestión Humana con un estimado de servidores públicos vinculados, al no cumplirse este hecho de vinculación, no fue posible la ejecución el PAC conforme lo previsto”</t>
  </si>
  <si>
    <t>10% del PAC no utilizado (Promedio trimestre)</t>
  </si>
  <si>
    <t>El indicador se encuentra en cumplimiento (nivel óptimo) de acuerdo con el porcentaje proyectado. Los soportes guardan coherencia con lo reportado.</t>
  </si>
  <si>
    <t>1. Solicitud de PAC. 
2. Pagos efectivos realizados cada mes. (SIIF)</t>
  </si>
  <si>
    <t>Durante el primer trimestre de 2019 se evidenció un uso óptimo de los recursos programados, dando cuenta de una planeación efectiva del PAC conforme con los compromisos adquiridos por la entidad, promediando un 3,9 % de recursos no utilizados sobre la programación, cifra muy cercana de la meta. Para medir el % de avance se realiza la diferencia entre el porcentaje de lo no utilizado en el PAC y el 100%, arrojando un 96,1%</t>
  </si>
  <si>
    <t>3,9% del PAC no utilizado
(Promedio trimestre)</t>
  </si>
  <si>
    <t xml:space="preserve">Reportes de ejecución presupuestal del tercer trimestre de 2019  </t>
  </si>
  <si>
    <t>Si bien la ejecución sigue siendo muy baja respecto de las metas propuestas para el cierre del tercer trimestre del año, es de destacar que a 30/09/2019, se reflejan compromisos por valor de $40.831.617.632, recursos sobre los cuales se reportará ejecución al cierre de la vigencia. 
Teniendo en cuenta los avances en la etapa precontractual de varios procesos que comprometen importantes recursos, se espera que al cierre del año se acerquen los porcentajes de ejecución presupuestal reales, con los fijados en el Plan de Acción.</t>
  </si>
  <si>
    <t>23,6% de los recursos ejecutados</t>
  </si>
  <si>
    <t>67,5% de los recursos ejecutados</t>
  </si>
  <si>
    <t>El indicador se encuentra en nivel de cumplimiento crítico. Por lo tanto, se sugiere que consideren estratégias de contingencia para mitigar el riesgo de no ejecución. Así mismo, considerar desde ya, la efectiva supervisión de contratos para que los servicios o productos sean entregados durante la vigencia y evitar así la generación de reservas presupuestales</t>
  </si>
  <si>
    <t>3 Reportes de ejecución presupuestal del segundo trimestre de 2019 (abril, mayo y junio 2019)</t>
  </si>
  <si>
    <t xml:space="preserve">Si bien la ejecución sigue siendo muy baja respecto de las metas propuestas para el cierre del segundo trimestre del año, es de destacar que a 30/06/2019, se reflejan compromisos por valor de $17.418.427.682, recursos sobre los cuales se reportará ejecución al tercer trimestre del año. 
Teniendo en cuenta los avances en la etapa precontractual de varios procesos que comprometen importantes recursos, se espera que al cierre del año se acerquen los porcentajes de ejecución presupuestal reales, con los fijados en el Plan de Acción. </t>
  </si>
  <si>
    <t>12,2% de los recursos ejecutados</t>
  </si>
  <si>
    <t>45% de los recursos ejecutados</t>
  </si>
  <si>
    <t>Meta en nivel crítico, debido a que la ejecución del trimestre estuvo 17,6% por debajo de lo programado. Sugerimos que la ejecución acumulada no realizada se concentre en el segundo trimestre 2019 para cumplir con el 45% proyectado y no generar un rezago general de la meta anual.</t>
  </si>
  <si>
    <t>1. Reporte de ejecución presupuestal correspondiente a los meses de enero, febrero y marzo de 2019 en formato pdf y a su vez publicados en la página web de la entidad por parte de la Subdirección Administrativa y Financiera de la UBPD</t>
  </si>
  <si>
    <t>Los resultados registrados para el 1° trimestre, dan cuenta del impacto en la baja ejecución de los gastos de inversión frente al total del presupuesto asignado, no obstante y teniendo en cuenta lo programado en el PAA, se espera en el 2° trimestre del año un mejoramiento en el comportamiento de ejecución, que se refleje positivamente en los porcentajes y parámetros establecidos para la medición frente a la totalidad del presupuesto de la UBPD</t>
  </si>
  <si>
    <t>4,9% de los recursos ejecutados</t>
  </si>
  <si>
    <t>22,5% de los recursos ejecutados</t>
  </si>
  <si>
    <t>Base de datos con el link de publicación de los contratos en las correspondientes plataformas establecidas para tal fin.</t>
  </si>
  <si>
    <t xml:space="preserve">En la página web de la entidad se encuentran publicados por cada uno de los temas (cuando así aplique), los actos administrativos expedidos por parte de la UBPD en ejercicio de sus funciones administrativas y misionales (Ejm. https://www.ubpdbusquedadesaparecidos.co/acerca-de-la-busqueda/, parte inferior, “estructura orgánica y gestión humana”, en el cual se encuentran publicadas todas las resoluciones de nombramientos de la planta de personal).
Adicionalmente, se deja constancia que en el tercer trimestre del año, han sido publicados en la plataforma de contratación pública del estado SECOP I 82 contratos, en SECOP II 14 contratos y en la TVEC 4 órdenes de compra. Lo anterior, para un total de 100 contratos publicados. </t>
  </si>
  <si>
    <t>100% de las actuaciones administrativas publicadas</t>
  </si>
  <si>
    <t>El indicador se encuentra en nivel óptimo de cumplimiento, sin embargo, se sugiere crear una matriz en la cual se registren los documentos requeridos y planeados por publicar y aquellos ya publicados en el transcurrir de la vigencia. De tal forma que se agregue valor a la lectura del indicador y se tenga la consolidación de actuaciones administrativas de la UBPD</t>
  </si>
  <si>
    <t>Contrato 052 del 12/06/2019
Base de datos con el link de publicación de contratos en las correspondientes plataformas establecidas para tal fin.</t>
  </si>
  <si>
    <t>Se suscribió contrato interadministrativo No. 052 de 2019 con la Imprenta Nacional con el objeto de publicar en el “Diario Oficial”, todos los actos administrativos de carácter general que profiera la UBPD (se deja constancia que a la fecha de corte, no se ha requerido ninguna publicación).
No obstante lo anterior, en la página web de la entidad se encuentran publicados por cada uno de los temas (cuando así aplique), los actos administrativos expedidos por parte de la UBPD en ejercicio de sus funciones administrativas y misionales (Ejm. https://www.ubpdbusquedadesaparecidos.co/acerca-de-la-busqueda/, parte inferior, “estructura orgánica y gestión humana”, en el cual se encuentran publicadas todas las resoluciones de nombramientos de la planta de personal).
Adicionalmente, se deja constancia que en el segundo trimestre del año, han sido publicados en la plataforma de contratación pública del estado SECOP I 43 contratos, en SECOP II 2 contratos y en la TVEC 6 órdenes de compra. Lo anterior, para un total de 51 contratos publicados</t>
  </si>
  <si>
    <t>El indicador se encuentra en cumplimiento (nivel óptimo) de acuerdo con el porcentaje proyectado. Sin embargo, es necesario validar la unidad de medida del indicador, de tal forma que la meta refleje directamente el número de actuaciones administrativas publicadas. Si se considera pertinente, se puede plantear otro indicador que permita evaluar el área de efectividad.</t>
  </si>
  <si>
    <t>1. documento que contiene el link y la ruta de publicación de los actos administrativos de carácter general en la página web de la UBPD 
2. Los 5 actos administrativos de carácter general publicados en la página web de la UBPD y, 
3. Un anexo con la relación de contratos y su correspondiente link en el sitio web del SECOP</t>
  </si>
  <si>
    <t>Se han publicado en la página web de la entidad, 5 resoluciones de carácter general que corresponden a la totalidad de los actos administrativos que cumplen con las condiciones legales para dar lugar a su publicación, no obstante, se deja constancia que se está avanzando en la etapa precontractual del contrato interadministrativo a suscribir con la Imprenta Nacional, con el objeto de efectuar la publicación de estos actos administrativos de carácter general en el “Diario Oficial”. Adicionalmente, es de destacar que a la fecha de corte se encuentran publicados en la página web del SECOP los 5 contratos suscritos por parte de la entidad, con sus correspondientes documentos anexos.</t>
  </si>
  <si>
    <t>Versión final de Política de Gestión Documental
Versión final de Politica de Servicio al Ciudadano</t>
  </si>
  <si>
    <t>Frente a la Política de Gestión Documental, es de destacar que, la misma se encuentra en ajustes, una vez socializada, será presentada para aprobación del Comité de Gestión en la sesión correspondiente al mes de octubre de 2019.
Frente a la Política de Servicio al Ciudadano, cabe destacar que,  el documento elaborado fue presentado en su primera versión en el Comité del 25 de junio, sin embargo, hasta el 30 de septiembre se recibieron las recomendaciones de la Oficina Asesora Jurídica razón por la cual la Política no ha sido nuevamente propuesta en Comité, se espera que en la programación de la sesión del comite correspondiente al mes de octubre, se logre la respectiva aprobación.</t>
  </si>
  <si>
    <t>0 políticas administrativas adoptadas</t>
  </si>
  <si>
    <t>2 políticas administrativas adoptadas</t>
  </si>
  <si>
    <t>Se encuentra en nivel óptimo de cumplimiento, sin embargo, se sugiere que al iniciar el 3er trimestre sean suministrados los borradores de los documentos que rinden cuenta de las 2 políticas que se preveen adoptar al finalizar el mes de septiembre de la presente vigencia, de tal forma, que puedan ser revisadas, ajustadas y aprobadas por la alta dirección.</t>
  </si>
  <si>
    <t xml:space="preserve">Resolución No. 206 del 03/05/2019
Resolución No. 207 del 03/05/2019 </t>
  </si>
  <si>
    <t>Mediante Resolución No. 206 del 03/05/2019, se estableció la política, objetivos, y se asignaron las obligaciones y responsabilidades frente al sistema de Gestión de Seguridad y Salud en el Trabajo.
Adicionalmente mediante Resolución No. 207 del 03/05/2019 se adoptó el Reglamento de Higiene y Seguridad Industrial en la UBPD.</t>
  </si>
  <si>
    <t>1 políticas administrativas adoptadas</t>
  </si>
  <si>
    <t>No aplica, debido a que la meta prevista es cero. Sin embargo, se sugiere revisar la meta anual considerando las políticas proyectadas, de tal forma que si apliquen como políticas y no a planes de acuerdo a las normas en materia. En dado caso, solicitar la modificación tan pronto como la Oficina Asesora de Planeación indique las fechas para realizar ajustes al Plan de Acción.</t>
  </si>
  <si>
    <t>1. Convenio Interadministrativo firmado entre la UBPD y la Universidad Nacional, con el objeto de "Aunar esfuerzos académicos, técnicos, tecnológicos y recursos físicos y humanos interinstitucionales en actividades académicas de especial interés para las partes, prestándose en forma recíproca colaboración, acompañamiento, formación y apoyo en los objetivos y funciones, con miras al logro de sus fines y al aprovechamiento racional y óptimo de sus recursos en beneficio común, de la comunidad y la construcción de paz en el país.".</t>
  </si>
  <si>
    <t>No obstante que frente al reporte del 1° trimestre del indicador objeto de estudio, no se fijó ninguna política administrativa implementada, es de destacar que, en referencia al tema de capacitación, se han adelantado varios esfuerzos con miras a satisfacer la necesidad de brindar espacios de capacitación y formación para los servidores de la entidad y, adicionalmente la importancia de contar con un acompañamiento integral en aspectos que la UBPD considera estratégicos en desarrollo de sus funciones tanto administrativas como misionales.</t>
  </si>
  <si>
    <t>Memorando remisorio No. 100-3-201901230 del 28-08-2019 del proyecto de Resolucion que reglamenta la conformacion de los grupos internos de trabajo (grupos administrativos) 
Memorando No. 100-3-201901547 del 25-09-2019, por medio del cual se remitió a la Directora General la justificación de creación de los grupos internos de trabajo (grupos administrativos).</t>
  </si>
  <si>
    <t>Teniendo en cuenta que la creación de los grupos internos de trabajo (administrativos) se encuentra pendiente de cumplimiento desde el reporte del 1° trimestre, al respecto es pertinente destacar que:
El día 28 de agosto de 2019 mediante memorando No. 100-3-201901230, se remitió a la Directora General para revisión, la resolucion que reglamenta la conformación de los grupos internos de trabajo (grupos administrativos). 
El día 25 de septiembre de 2019 mediante memorando No. 100-3-201901547, se remitió a la Directora General la justificación de creación de los grupos internos de trabajo (grupos administrativos).</t>
  </si>
  <si>
    <t>0 Grupos internos de trabajo consolidados</t>
  </si>
  <si>
    <t>El indicador se encuentra en nivel de riesgo para su cumplimiento. Por lo anterior, se sugiere dar alcance permanente a las solicitudes de revisión del acto administrativo de creación de los 5 grupos internos de trabajo (contratos, financiero, servicio al ciudadano, administrativa-logistica y documental), para avanzar con el 22,7% pendiente para alcanzar el nivel óptimo de cumplimiento.
NOTA: Tenga presente que este indicador se encuentra asociado al Proyecto de Inversión BPIN 2018011000898 específicamente en el producto Sedes adecuadas. Por lo tanto, la información reportada en el Plan de Acción debe corresponder con el avance obtenido en este indicador y reportado mensualmente durante el seguimiento a proyectos de inversión en el SPI.</t>
  </si>
  <si>
    <t>Resolución No. 217 del 07/05/2019 
Memorando No. 18062019-200-3-695 del 18-06-2019</t>
  </si>
  <si>
    <t xml:space="preserve">Mediante Resolución No. 217 del 07/05/2019 se reglamentó la conformación de los 17 Grupos Internos de Trabajo Territorial al interior de la UBPD.
La resolución por medio de la cual se conforman los 5 Grupos Internos de Trabajo (administrativos); se encuentra desde el 18/06/2019 en revisión de la Oficina Jurídica (Memorando No. 18062019-200-3-695). </t>
  </si>
  <si>
    <t>17 Grupos internos de trabajo consolidados</t>
  </si>
  <si>
    <t>Meta en nivel crítico, debido a que la ejecución del periodo estuvo en 0% de lo programado. Sugerimos que la ejecución acumulada no realizada del 22,7% se concentre en el segundo trimestre 2019, para no generar un rezago general de la meta anual.</t>
  </si>
  <si>
    <t>1. Proyecto de Resolución de conformación de Grupos Internos de Trabajo al interior de la UBPD. (sujeta a la reformulación que se encuentra en curso).</t>
  </si>
  <si>
    <t>En relación con el indicador de la referencia, es necesario destacar que la conformación de los grupos internos de trabajo definidos para las 2 subdirecciones a cargo de la Secretaria General, se encuentra contenida en un acto administrativo que en su momento fue enviado para revisión de la Oficina Jurídica de la entidad, pero que a la fecha y luego de analizar las nuevas necesidades producto de la vinculación de un número considerable de servidores, sumado al desarrollo del curso normal de las funciones propias a cargo del área, se encuentra en proceso de reformulación. No obstante, la versión ajustada del acto administrativo será enviada para revisión y correspondiente firma de las de las áreas competentes. Se envía como evidencia el proyecto de resolución que se trabajó con anterioridad.</t>
  </si>
  <si>
    <t>5 Grupos internos de trabajo consolidados</t>
  </si>
  <si>
    <t>Actas, listados de asistencia, bases de datos y demás soportes relacionados</t>
  </si>
  <si>
    <t>Durante el tercer trimestre de 2019 (julio - septiembre), la DTPCVED continuó con su estrategia de relacionamiento con 21 nuevas organizaciones, colectivos, movimientos y plataformas de la sociedad civil, acompañantes y de familiares. Este relacionamiento se desarrolló en el marco de reuniones, eventos, diálogos iniciales colectivos y actividades conjuntas con otras direcciones misionales u oficinas de la UBPD. Asistieron 138 personas a un total de diez actividades.
Las 21 OCMP nuevas son: Comité por los Derechos de las Víctimas de Bojayá, Asociación Madres de la Candelaria, Corsuflag, Ave Fénix, Orvida, Organización Proyecto DES, CCAJAR, EQUITAS, Asociación de Familiares Desaparecidos del Pacífico (AFADPAC), Secretaria del Despacho Parroquial de la Santísima Trinidad, Colectivo Ceiba de la Memoria, Familiares Palacio de Justicia, Unión de Mujeres, Corporación Vida Paz, Tierra Querida, Colectivo de Mujeres, Grupo Europa Familiares de Desaparecidos en Colombia, Revicpaz LAC Chile (ACORCH), Migrantes y Exiliados Colombianos por la Paz (MECOPA), Brigadas internacionales de Paz y Asociación de Familiares Víctimas de Desaparición Forzada de Caquetá (FAVIDES).
Con estas 21 OCMP nuevas se realizaron: a) 4 reuniones con la asistencia de 37 personas (tres en julio, 23 personas; una en agosto, 7 personas; una en septiembre, 7 personas); b) un diálogo inicial colectivo en septiembre, 2 personas; c) 2 eventos en septiembre, 57 personas; d) 3 actividades conjuntas con otras direcciones de la UBPD, 42 personas (2 en julio y 1 en septiembre).
Además, del nuevo relacionamiento mencionado, entre julio y septiembre la DTPCVED también continuó su relacionamiento con: Familiares Colombia por el Apoyo Mutuo, Fondo de Solidaridad con los Jueces Colombianos (FASOL), Fundación Visión Desarrollo Social (FUNVIDES), Luz de Esperanza, Colectivo Orlando Fals Borda (COFB), Movimiento Nacional de Víctimas de Crímenes de Estado (MOVICE), Corporación Regional Para La Defensa De Los Derechos Humanos (CREDHOS) y la Fundación Nydia Erika Bautista. A las actividades realizadas asistieron 111 personas.</t>
  </si>
  <si>
    <t>21 organizaciones de la sociedad civil conocen el trabajo de la UBPD e inician un contacto de relacionamiento</t>
  </si>
  <si>
    <t>10 organizaciones de la sociedad civil conocen el trabajo de la UBPD e inician un contacto de relacionamiento</t>
  </si>
  <si>
    <t>Se sugiere considerar las organizaciones que han tenido relacionamiento con la SGTT, de tal forma, que se unifiquen las matrices de las organizaciones en la UBPD desde la DTPCVED. Así mismo, preveer con esta cifra una posible subestimación del indicador en los que resta de la vigencia, ya que actualmente se acumula en un 75%(30) del 100%(40) proyectado en el año.</t>
  </si>
  <si>
    <t>Actas, listados de asistencia y demás soportes relacionados</t>
  </si>
  <si>
    <t xml:space="preserve">Durante el segundo trimestre de 2019 la DPCVED continuó con su estrategia de relacionamiento con organizaciones de la sociedad civil, desarrollando reuniones con 8 nuevas organizaciones, con la participación de 191 personas: FASOL, GEPU UniValle, PRORROM, LGBTI POR LA PAZ, CABILDO SAN LORENZO, FUNDACIÓN YOVANY QUEVEDO, BENPOSTA y CORPORACIÓN DE DESARROLLO Y PAZ DEL MAGDALENA MEDIO. Se aclara que el dato anterior no incluye el relacionamiento realizado por los equipos territoriales de la UBPD, debido a que la Subdirección General Técnica y Territorial (SGTT) se encuentra en proceso de verificación y consolidación de la información, por lo mismo, el dato reportado no podría tomarse como final o definitivo.
Además, de las reuniones mencionadas, entre abril y junio la DPCVED también continuó su relacionamiento con: Familiares Colombia Por el Apoyo Mutuo, Los Que Faltan, CONPA, ACOMIDES, REINICIAR, CREDHOS, MOVICE, ASFADDES y la Secretaría Técnica de la Comisión de Derechos Humanos de Pueblos Indígenas, a las que asistieron con 70 personas.
Ahora bien, el desarrollo del relacionamiento con las organizaciones señaladas dejó en evidencia que la UBPD tiene cuatro retos: i) profundizar en el conocimiento que tiene sobre las experiencias y expectativas de la comunidad LGBTI y la población étnica en torno a la desaparición y procesos de búsqueda; ii) realizar actividades conjuntas que favorezcan la aplicación de los enfoques diferenciales, de género y psicosocial; iii) activar redes de apoyo visibles y legítimas en los territorios, y; iv) establecer mecanismos claros de relacionamiento entre las organizaciones y los equipos territoriales de la UBPD. </t>
  </si>
  <si>
    <t>8 organizaciones de la sociedad civil conocen el trabajo de la UBPD e inician un contacto de relacionamiento</t>
  </si>
  <si>
    <t>5 organizaciones de la sociedad civil conocen el trabajo de la UBPD e inician un contacto de relacionamiento</t>
  </si>
  <si>
    <t>El indicador se encuentra en cumplimiento (nivel óptimo). Los soportes guardan coherencia con lo reportado. Es necesario revisar y ajustar las metas trimestrales, debido a que en el primer trimestre se dió cumplimiento al 73,3% de toda la vigencia, generando una posible subestimación a partir del 2do trimestre. Esto refleja errores y debilidades en la planeación de la Dirección.</t>
  </si>
  <si>
    <t xml:space="preserve">1. Actas
2. Ayudas de memorias
3. Listados
4. Informes de las reuniones de relacionamiento con las organizaciones </t>
  </si>
  <si>
    <t>La DPCVED ha venido avanzando en el relacionamiento con diferentes organizaciones tanto del nivel nacional como regional, con el objetivo de dar a conocer la labor de la UBPD e iniciar acercamientos que permitan establecer un trabajo articulado que fortalezca el proceso de participación.</t>
  </si>
  <si>
    <t>22 organizaciones de la sociedad civil conocen el trabajo de la UBPD e inician un contacto de relacionamiento</t>
  </si>
  <si>
    <t>20 organizaciones de la sociedad civil conocen el trabajo de la UBPD e inician un contacto de relacionamiento</t>
  </si>
  <si>
    <t>Proyecto Red de Apoyo Final
Ficha técnica Desaparición Forzada
Ficha técnica Secuestro donde se desconoce el paradero
Presupuesto Desaparición Forzada
Presupuesto Secuestro donde se desconoce el paradero
Proyecto versión cotización 
Modelo de cotización Desaparición Forzada Modelo de cotización Secuestro donde se desconoce el paradero 
Análisis del sector</t>
  </si>
  <si>
    <t>Durante el tercer trimestre la DTPCVED, realizó los siguientes productos que permitieron avanzar en la etapa precontractual para suscripción de los convenios que permitirán la consolidación de las redes de apoyo. 
1. Proyecto Red de Apoyo Final 
2. Ficha técnica Desaparición Forzada
3. Ficha técnica Secuestro donde se desconoce el paradero
4. Presupuesto Desaparición Forzada
5. Presupuesto Secuestro donde se desconoce el paradero
6. Proyecto versión cotización 
7. Modelo de cotización Desaparición Forzada
8. Modelo de cotización Secuestro donde se desconoce el paradero
9. Análisis del sector.
Lo anterior nos permite tener la estrategia metodológica para la construcción de una red de apoyo, y haber abierto y culminado el proceso de selección de propuestas para los convenios y se espera en octubre la firma y comienzo de la implementación de los mismos.</t>
  </si>
  <si>
    <t>0 organizaciones de la sociedad civil apoyan los procesos de participación en la búsqueda</t>
  </si>
  <si>
    <t>5 organizaciones de la sociedad civil apoyan los procesos de participación en la búsqueda</t>
  </si>
  <si>
    <t>Se sugiere replantear el presupuesto proyectado, toda vez que durante el 2do trimestre no se culminó el proceso contractual y según los tiempos no se requerirían todos los recursos. Así mismo, es necesario que se identifiquen los 5 grupos planeados en la meta del indicador, de tal forma, que se garantice el cumplimiento una vez se ejecute la figura contractual finalmente definida.</t>
  </si>
  <si>
    <t>Documento Proyecto Red de Apoyo
Archivo excel Presupuesto Red de Apoyo
Actas reuniones de trabajo internas UBPD.</t>
  </si>
  <si>
    <t>La DTPCVED, durante este segundo trimestre, avanzó en diferentes aspectos de trabajo con el objetivo de tener la estrategia de la Red de Apoyo. Por una parte, se estructuró un documento proyecto Red de Apoyo con metodología marco lógico, de acuerdo a las indicaciones del área de contratos de la Secretaría General. Igualmente, se realizó una estructuración del presupuesto que ejecutaría la Red de Apoyo.
Adicionalmente, la DTPCVED coordinó reuniones de trabajo con el área de contratos de la Secretaría General, la oficina jurídica, la Subdirección Técnica y Territorial y la Dirección General, para presentar los avances de la estrategia y, principalmente, para determinar la modalidad de contratación para la Red de Apoyo.</t>
  </si>
  <si>
    <t>Se sugiere identificar rápidamente la modalidad de contratación y la viabilidad jurídica de la misma, con el fin de garantizar que en el segundo trimestre se contará con los terminos de referencia y la convocatoria para garantizar en el tercer trimestre los convenios de la red de apoyo.</t>
  </si>
  <si>
    <t>1. Presentación RED DE APOYO</t>
  </si>
  <si>
    <t xml:space="preserve">La DPCVED ha venido construyendo la estrategia para la red de apoyo, definiendo objetivos, alcances y el despliegue territorial que tendría la misma. </t>
  </si>
  <si>
    <t xml:space="preserve">Listas de asistencia, soportes de memorias, actas de reuniones y actas de encuentros. </t>
  </si>
  <si>
    <t>Para el desarrollo y diseño de los Lineamientos de los Enfoques Diferenciales y de Género, se han llevado a cabo varias acciones para el relacionamiento con diferentes grupos poblacionales -Mujeres, Personas LGBTI, Pueblos Indígenas, Comunidades afrocolombianas, entre otras- y se ha diseñado toda la estrategia conceptual y metodológica para la consecución de dicho objetivo:
• En materia del Enfoque de Género y DDDH de las Mujeres los principales desarrollos en este trimestre contemplan (1) el proceso de articulación con la Comisión para el Esclarecimiento de la Verdad en el Proceso de Reconocimiento a las Mujeres y Familiares que buscan Personas Desaparecidas. Para ello desde la DTPCVED se delegó a un equipo que construyó insumos técnicos, participó en reuniones, implementar los diferentes escenarios con las mujeres del Comité de Impulso, los 6 Encuentros Territoriales en Villavicencio, Barrancabermeja, Saravena- Arauca, Cúcuta, Tumaco y Medellín, y el Encuentro de Reconocimiento en la Ciudad de Pasto los días 26, 27 y 28 de agosto de 2019. Cabe mencionar, que el proceso permitió fortalecer el relacionamiento con las organizaciones sociales de familiares y recabar insumos para la construcción de los Lineamientos. (2) El otro avance refiere al acompañamiento técnico al Proyecto de ONU Mujeres en Vistahermosa, en el cual se diseñó un Plan de Trabajo de Fortalecimiento del trabajo de la UBPD en el departamento del Meta. (3) Por último se fortalecieron relaciones con la Instancia Especial de Género para el Acuerdo de Paz, lo que supone un insumo significativo en el relacionamiento con las mujeres y las personas LGBTI víctimas del conflicto armado. 
• A su vez, en torno a los Enfoques de Género- Mujeres y Étnico Afrocolombiano se desarrollaron los dos encuentros regionales con mujeres y personas afrocolombianas: el primero, en la ciudad de  Cali el Encuentro “Diálogo Nacional entre la UBPD y el Pueblo Negro, afrocolombiano, palenquero y raizal” que convocó a mujeres afrocolombianas de todo el país, y el segundo, en la ciudad de Barranquilla, el Encuentro con Mujeres del Caribe Colombiano, que abrió un escenario de diálogo y construcción colectiva sobre las experiencias de búsqueda de las  mujeres campesinas, mujeres afrocolombianas, mujeres lideresas, mujeres mestizas y mujeres indígenas de la Costa Caribe. En el marco de los lineamientos, estos encuentros permitieron afianzar la relación conceptual y metodológica entre los Enfoques Diferenciales y de Género y el Enfoque Territorial. 
• En el Enfoque de Género- Personas con Orientaciones Sexuales e Identidades de Género Diversas –LGBTI-, desde la UBPD se ha abierto un diálogo amplio con líderes y lideresas sociales, colectivos y víctimas LGBTI para poder hacer pedagogía sobre el mandato de la entidad y la convocatoria a los Encuentros regionales de diseño de los Lineamientos.  En ese sentido se participó en uno de los Encuentros de la Plataforma LGBTI por la Paz en Ibagué y por invitación de la UARIV en dos Encuentros de Líderes del Enfoque LGBTI en Magdalena y Norte de Santander.
• En torno al Enfoque Étnico –Pueblos Indígenas, se avanzó en el relacionamiento a través de dos líneas de trabajo:  (1) como parte del Protocolo de Relacionamiento con Pueblos Indígenas, se abrieron distintos escenarios de trabajo conjunto con el equipo contratado que hace parte de las organizaciones del Órgano de Interlocución, y , (2) a nivel de despliegue territorial, se abrieron espacios de diálogo intercultural con pueblos y comunidades indígenas como la del Bajo Atrato y de la provincia del Darién. 
• Para culminar el proceso de Consulta previa con el Pueblo Rrom, en el mes de julio se desarrolló el proceso de la Protocolización de la Consulta Previa a través del instrumento de la Ruta de Relacionamiento de la UBPD con el Pueblo Rrom.
• En el Enfoque de Niños, Niñas y Jóvenes, se avanzó en el relacionamiento con BENPOSTA Nación de Muchachos para la construcción de los lineamientos del Enfoque Diferencial de Niños, Niñas y Jóvenes y la recepción de solicitudes de búsqueda. 
• Por último, a través del Proyecto del ICTJ- Embajada de Holanda se diseñaron las herramientas pedagógicas de los Encuentros Regionales para la construcción participativa de los Lineamientos de los Enfoques Diferenciales y de Género y la realización de los Diálogos Internos UBPD con los diferentes equipos misionales de la entidad.
• La DTPCVED, a través del Equipo de Enfoques Diferenciales y de Género, de julio a septiembre de 2019 desarrolló actividades con 45 organizaciones, colectivos, movimientos y plataformas de la sociedad civil, familiares y acompañantes; 23 son nuevas con las cuales se inicia relacionamiento y 22 corresponden a aquellas con las que se da continuidad a relacionamientos previos.</t>
  </si>
  <si>
    <t>0 lineamientos de participación y enfoques diferenciales, étnico, género y psicosocial construidos</t>
  </si>
  <si>
    <t>Se sugiere que al iniciar el 3er trimestre se definan los nombres de los documentos, cronograma de elaboración, su estructura y el tipo de lineamientos allí definidos, de tal forma, que su construcción sea estandarizada y pueda ser entregada antes del 30 de septiembre de la presente vigencia</t>
  </si>
  <si>
    <t>Estados del Arte: 
Comprensiones desde los Enfoques Diferenciales y de Género acerca de la participación en los procesos de búsqueda de personas dadas por desaparecidas con ocasión del conflicto armado
• Doc. Enfoque de Género Capítulo Mujeres
• Doc. Enfoque de Género Capítulo LGBTI.
• Doc. Enfoque Étnico Afrocolombiano
• Doc. Enfoque Étnico-Indígena.
• Doc. Enfoque de Personas con Discapacidad.
• Doc. Enfoque de Niños, niñas y jóvenes.
• Doc. Enfoque de Personas Mayores
Propuestas metodológicas: Encuentros regionales Enfoques Diferenciales y de Género
• Doc. Enfoque Étnico Afrocolombiano
• Doc. Enfoque de Personas con Discapacidad.
• Doc. Enfoque de Niños, niñas y jóvenes.
Estrategias de convocatoria y propuestas de Estrategias de Participación Enfoques Diferenciales y de Género:
• Presentación Propuesta Estrategias de Participación Género y Afrocolombiana
• Estrategia de Convocatoria Enfoque de Personas con Discapacidad a Encuentros Regionales.
• Estrategia de Convocatoria Enfoque de Niños, Niñas y Jóvenes a Encuentros Regionales.
• Estrategia de Convocatoria Enfoque de Comunidades Afrocolombianas a Encuentros Regionales.
Enfoque Étnico Pueblo- Rrom:
• Acta Pre-Consulta Previa Pueblo Rrom.
• Informe Despliegue Territorial de la Consulta del Pueblo Rrom
• Propuesta Ruta de Coordinación entre UBPD y Pueblo Rrom. 
• Presentación Propuesta Ruta de Coordinación entre UBPD y Pueblo Rrom. 
Enfoque Étnico- Comunidades Afrocolombianas: 
• Propuesta: Diálogo del SIVJRNR con organizaciones sociales en el marco de la Semana de la Afrocolombianidad.
Enfoque Étnico- Pueblos Indígenas: 
• Informe de comisión de Jornada de Trabajo con el Cabildo Indígena San Lorenzo en Riosucio, Caldas
• Acta Primera Sesión de Órgano de Interlocución y Coordinación entre la UBPD y el Movimiento Nacional Indígena. 
Enfoque de Género- Mujeres: 
• Acta de Comité de Gestión: Proyecto ONU Mujeres- Vista Hermosa/Meta: Acompañamiento a la implementación de un Modelo territorial de garantías de no repetición y de empoderamiento de mujeres y jóvenes para su acceso efectivo al Sistema Integral de Verdad, Justicia, Reparación y No Repetición –SIVJRNR 
• Documento: Perfil del Proceso de reconocimiento a la persistencia de las mujeres que lideran la búsqueda de personas dadas por desaparecidas en razón y en el contexto del conflicto armado. Articulación con la Comisión para el Esclarecimiento de la Verdad –CEV-
Enfoque de Género- LGBTI:
• Documento: Perfil de Proyecto Congresos Regionales LGBTI por la Paz 2019
• Presentación Enfoque de Género para Congreso Regional LGBTI por la paz en Florencia, Caquetá.
• Informe de comisión del Evento Congreso Regional LGBTI por la paz en Florencia, Caquetá.
• Agenda: Evento: ¿Quién reclama estas vidas? Sectores LGBTI hablan de verdad, justicia y reparación en Medellín.
• Documento Propuesta UBPD: Evento: ¿Quién reclama estas vidas? Sectores LGBTI hablan de verdad, justicia y reparación en Medellín.
Enfoque de Niños, Niñas y Jóvenes: 
• Documento Propuesta: Encuentro Internacional: Palabras con Eco: Derechos de la Niñez y la Justicia Transicional.
• Presentación Propuesta: Encuentro Internacional: Palabras con Eco: Derechos de la Niñez y la Justicia Transicional
• Memoria Diálogo con la Organización Benposta Nación de Muchachos. 
• Diseño Metodológico: Diálogo con la Organización Benposta Nación de Muchachos.</t>
  </si>
  <si>
    <t>En el proceso de construcción de los lineamientos de los Enfoques Diferenciales y de Género, la DPCVED ha llevado a cabo varias actividades y el desarrollo de insumos conceptuales que contribuyen a la consecución de dicho objetivo:
• En el Enfoque Étnico Pueblo- Rrom, se desarrolló toda la preparación, pre-consulta y despliegue territorial de la Consulta Previa con el Pueblo Rrom de la mano de las entidades del Sistema Integral de Verdad, Justicia, Reparación y No Repetición (JEP_CEV_UBPD) y con el apoyo del Ministerio del Interior en 11 territorios con las diferentes Kumpañy identificadas. En dicha Consulta se socializó y se validó el documento propuesta de Ruta de Relacionamiento entre la UBPD y el Pueblo Rrom, donde se reconoce como aporte la definición de formas de interlocución y comunicación con la UBPD y las Kumpañy, se resalta como un aporte de la propuesta el reconocimiento de las tradiciones, usos, costumbres y cosmología propia del pueblo Rrom y se estableció con la mayoría de las Kumpañy que, por lo pronto, no se identifican personas del pueblo Rrom desaparecidas. 
• Con relación al Enfoque Étnico- Afrocolombiano, se avanzó en el relacionamiento con organizaciones nacionales de las comunidades afrocolombianas como el CONPA o el Movimiento de Mujeres Negras a través de diferentes escenarios para el diseño de un Encuentro Nacional de construcción participativa de los lineamientos en el mes de agosto en Cali y en el marco de la Semana de la Afrocolombianidad con los tres mecanismos del SIVJRNR.
• A su vez, en el Enfoque Étnico- Indígena se instaló el Órgano de Interlocución y Coordinación entre la UBPD y el Movimiento Nacional Indígena establecido en la Consulta Previa como parte de la implementación del Protocolo de Relacionamiento y Coordinación de la UBPD con Pueblos Indígenas. 
• Con relación al Enfoque de Género- Mujeres, desde la UBPD se avanzó en líneas de cooperación internacional con ONU Mujeres para el desarrollo de un proyecto territorial en Vista Hermosa y otras acciones de fortalecimiento de la UBPD (formación, encuentros con mujeres y organizaciones, entre otras) y se definió la articulación con la CEV para desarrollar en el mes de agosto un Encuentro por la Verdad para el Reconocimiento a la persistencia de las mujeres que lideran la búsqueda de personas dadas por desaparecidas en razón y en el contexto del conflicto armado.
• En el Enfoque de Género- LGBTI, como parte de la estrategia de convocatoria para los Encuentros Regionales de construcción de los lineamientos para la incorporación del enfoque en el proceso de búsqueda y participación, desde la DPCVED se participó en eventos de reflexión académica y diálogo con víctimas LGBTI de la Plataforma LGBTI por la Paz y la Mesa LGBT de la Comuna 8 de Medellín. 
• Desde el Enfoque de Niños, Niñas y Jóvenes, se acompañó y desarrolló la propuesta metodológica del Encuentro Internacional: Palabras con Eco: Derechos de la Niñez y la Justicia Transicional con UNICEF y el SIVJRNR, y se abrieron escenarios de diálogo con la organización BENPOSTA Nación de Muchachos y Grupo Consultor de Adultos desvinculados, desde los cuales se identificaron algunas solicitudes de búsqueda de personas dadas por desaparecidas y la idea de que ellos como colectivo participen en los encuentros regionales de construcción de los lineamientos. 
Finalmente, en el marco del Proyecto ICTJ y Embajada de Holanda se logró culminar la construcción de los documentos de Estado del Arte - Comprensiones desde los Enfoques Diferenciales y de Género acerca de la participación en los procesos de búsqueda de personas dadas por desaparecidas con ocasión del conflicto armado, un insumo necesario para el diseño de metodologías pertinentes y formulación de hipótesis de trabajo en el proceso de construcción de los lineamientos de los EDyG para los procesos de participación en la búsqueda. Además, se desarrollaron las Propuestas Metodológicas para los Encuentros Regionales de construcción participativa de dichos lineamientos y se definieron estrategias para la convocatoria.</t>
  </si>
  <si>
    <t>No aplica, debido a que la meta prevista es cero. Sin embargo, se valora el avance cualitativo reportado, toda vez que brinda un contexto del proceso para llegar a la meta prevista en el 3er trimestre.</t>
  </si>
  <si>
    <t>1. Documento preliminar lineamientos enfoques diferenciales y de género 2. Estados del arte 3. Mapeo de actores 4. “Protocolo para la Coordinación y Articulación de la Reparación Integral, Restaurativa y Transformadora de los Pueblos Indígenas de Colombia” 
5. "Protocolo de relacionamiento y coordinación entre la UBPD y los pueblos indígenas de Colombia" 6. Actas Consulta Previa con Pueblos Indígenas 7. Acta Pueblo Indígena Kankuamo</t>
  </si>
  <si>
    <t xml:space="preserve">En el proceso de construcción de los lineamientos de los Enfoques Diferenciales y de Género, la UBPD ha llevado a cabo varias actividades que contribuyen a la consecución de dicho objetivo: 
Firmó el “Protocolo de Relacionamiento y Coordinación entre la UBPD y los Pueblos Indígenas de Colombia” y el “Protocolo para la Coordinación y Articulación de la Reparación Integral, Restaurativa y Transformadora de los Pueblos Indígenas de Colombia”. Con dichos instrumentos, la UBPD incluyó en sus obligaciones, el respeto por la cultura y la cosmovisión de los Pueblos Indígenas de Colombia, así como por su territorio, en el marco de las labores de búsqueda y localización de personas dadas por desaparecidas. 
Con relación a los demás enfoques diferenciales y de género, la UBPD produjo un documento inicial de principios y conceptos de cada uno de los enfoques. Este instrumento permitió avanzar en las discusiones que debe desarrollar la institución para la formulación de los lineamientos de los enfoques diferenciales, recogiendo las experiencias previas tanto a nivel internacional como de otras entidades estatales.
Finalmente, la DPCVED trabajó en la elaboración de los estados del arte y mapeos de actores, que permitirán la construcción de apuestas conceptuales, metodológicas e instrumentos de recolección de información para la puesta en marcha de la fase de participación ciudadana en la construcción de los lineamientos de los enfoques.
</t>
  </si>
  <si>
    <t xml:space="preserve">Propuesta Lineamientos de Participación de los Familiares de Personas Desaparecidas
en el marco de la Entrega Digna y Reencuentros desde una perspectiva diferencial y psicosocial.
Acta Entrega Digna Sr. Heli Ballesteros 
Acta Entrega Digna Sr. William Ricardo Barón. </t>
  </si>
  <si>
    <t>2 entregas dignas solicitadas</t>
  </si>
  <si>
    <t>0 entregas dignas solicitadas</t>
  </si>
  <si>
    <t>El cronograma suministrado obedece a la construcción de lineamientos, estandares, metodologias y grupos focales, sin embargo, no está orientado a cumplir el indicador de "Entregas Dignas", En este sentido, se esperarían actividades dentro del cronograma que garanticen en todo caso el cumplimiento del indicador en lo que resta de la vigencia.
NOTA: Tenga presente que este indicador se encuentra asociado al Proyecto de Inversión BPIN 2018011000907 específicamente en el producto Servicio de entrega digna de cuerpos. Por lo tanto, la información reportada en el Plan de Acción debe corresponder con el avance obtenido en este indicador y reportado mensualmente durante el seguimiento a proyectos de inversión en el SPI.</t>
  </si>
  <si>
    <t>Cronograma de trabajo</t>
  </si>
  <si>
    <t>Se estableció un cronograma de trabajo interno de la DPCVED para realizar los lineamientos de Entrega Digna con enfoques diferenciales, género y psicosocial. De acuerdo a la construcción de la meta y su fórmula de cálculo no se han realizado Entregas Dignas dado que los mismos no han sido solicitados.</t>
  </si>
  <si>
    <t xml:space="preserve">Se debe garantizar la firma oportuna de los convenios interinstitucionales necesarios para realizar las entregas dignas de acuerdo con las competencias de cada entidad. Es importante focalizar acciones para el cumplimiento de esta meta, dado que hace parte de los indicadores de proyecto de inversión. </t>
  </si>
  <si>
    <t>1. Documento Flujograma Entrega Digna 
2. Documento Descripción Flujograma de Entrega Digna</t>
  </si>
  <si>
    <t>En el proceso de alistamiento de la UBPD, la DPCVED realizó la definición y diseño del proceso del Flujograma de Entrega Digna, así como del documento descriptivo-explicativo del mismo. Lo anterior en el marco del fortalecimiento de la participación a personas en proceso de la búsqueda.</t>
  </si>
  <si>
    <t>Propuesta Lineamientos de Participación de los Familiares de Personas Desaparecidas
en el marco de la Entrega Digna y Reencuentros desde una perspectiva diferencial y psicosocial</t>
  </si>
  <si>
    <t>Frente al proceso de diseño de lineamientos de reencuentros y entregas dignas con enfoques diferenciales, género y psicosocial se ha avanzado en la estructuración de un documento preliminar y de un plan de trabajo para la construcción de los lineamientos. El documento preliminar presenta el reto de enmarcar las entregas dignas desde el carácter humanitario y extrajudicial. Esto teniendo en cuenta el objeto de la UBPD, dado que de acuerdo a las diferentes solicitudes de búsqueda, la entidad realizará acciones de Coordinación, Dirección o Contribución de acciones humanitarias para la búsqueda de personas dadas por desaparecidas; lo anterior basándose en los desarrollos conceptuales y metodológicos que la Dirección de Participación ha realizado en materia de los principios para participar en un escenario de Entrega Digna o Reencuentro, con la incorporación de los enfoques diferenciales y de género. Así, para los reencuentros, se propone un espacio de acercamiento con la familia o comunidad y la persona dada por desaparecida hallada con vida, pero también de ser necesario, realizar acciones de coordinación interinstitucional. Respecto al avance del indicador, para el tercer trimestre se esperaba haber realizado 2 reencuentros, lo cual no ha sido posible debido a que no han sido reportados a la Dirección Técnica de Participación, Contacto con las Víctimas y Enfoques Diferenciales, el hallazgo o localización de personas vivas.</t>
  </si>
  <si>
    <t>0 reencuentros solicitados</t>
  </si>
  <si>
    <t>2 reencuentros solicitados</t>
  </si>
  <si>
    <t>El cronograma suministrado obedece a la construcción de lineamientos, estandares, metodologias y grupos focales, sin embargo, no está orientado a cumplir el indicador de "Reencuentros realizados", En este sentido, se esperarían actividades dentro del cronograma que garanticen en todo caso el cumplimiento del indicador en lo que resta de la vigencia.
NOTA: Tenga presente que este indicador se encuentra asociado al Proyecto de Inversión BPIN 2018011000907 específicamente en el producto Servicio de reencuentro de personas vivas dadas por desaparecidas. Por lo tanto, la información reportada en el Plan de Acción debe corresponder con el avance obtenido en este indicador y reportado mensualmente durante el seguimiento a proyectos de inversión en el SPI.</t>
  </si>
  <si>
    <t>Cronograma de Trabajo</t>
  </si>
  <si>
    <t>Se estableció un cronograma de trabajo interno de la DPCVED para realizar los lineamientos de Reencuentro con enfoques diferenciales, género y psicosocial. De acuerdo a la construcción de la meta y su fórmula de cálculo no se han realizado Reencuentros dado que los mismos no han sido solicitados.</t>
  </si>
  <si>
    <t xml:space="preserve">Se valora el avance cualitativo reportado, toda vez que brinda un contexto del proceso para llegar a la meta prevista en el 3er y 4to trimestre del año. Es importante focalizar acciones para el cumplimiento de esta meta, dado que hace parte de los indicadores de proyecto de inversión. </t>
  </si>
  <si>
    <t>1. Documento Flujograma Reencuentro 
2. Documento Descripción Flujograma de Reencuentro</t>
  </si>
  <si>
    <t>En el proceso de alistamiento de la UBPD, la Dirección de Participación, contacto con las víctimas y Enfoques diferenciales realizó la definición y diseño deL proceso del Flujograma de Reencuentro así como del documento descriptivo-explicativo del mismo. Lo anterior en el marco del fortalecimiento de la participación a personas en proceso de la búsqueda.</t>
  </si>
  <si>
    <t>Base registro proceso de participación.
Base Diálogos Colectivos
Base de registro unificada de la DIPL.Ruta  E:\lordonezg\Documents\Back Up's\Respuestas Solicitudes\Solicitudes (respuestas) 30-06-19.xlsx</t>
  </si>
  <si>
    <t>Durante el tercer trimestre la DPCVED ha asesorado, orientado y fortalecido a 457 personas. Las mismas corresponden a 314 diálogos iniciales con la participación de 394 personas, 14 diálogos para ampliar la información - de documentación- con la participación de 25 personas, 17 acciones de orientación, asesoría y fortalecimiento con la participación de 28 personas, 2 diálogos de devolución con la participación de 2 personas y 3 diálogos de implementación de acciones humanitarias con la participación de 8 personas.
De los 314 diálogos iniciales, 256 de estos con la participación de 307 personas, fueron realizados por el equipo territorial, según reporte de la Dirección de Información, Planeación y Localización -DIPL-. Sin embargo, la DIPL, advierte que dicho reporte se encuentra en proceso de migración y verificación con la base de registro unificada, proceso que es dispendioso, por lo que no se podría tomar como cifra final o definitiva.
Frente a las actividades planteadas para el cumplimiento del indicador: - Se cuenta con documento preliminar de la estrategia metodológica del proceso de participación, -Para la definición de contenidos para la elaboración de piezas comunicativas y material pedagógico para el proceso de participación, se han realizado contenidos y materiales como la elaboración de rompecabezas para socializar y comunicar las fases de búsqueda a familiares, allegados, comunidades y organizaciones, en conjunto con la Oficina Asesora de Comunicaciones y Pedagogía se elaboró un rompecabezas didáctico con el fin de que las personas puedan conocer el proceso de búsqueda en la UBPD e identificar a partir de sus experiencias en donde se encuentran y cómo será su proceso de participación, se participó en la elaboración de piezas de comunicación en el marco de la estrategia circulo de saberes creativos: Del 10 al 13 de septiembre en la ciudad de Montería la DTPCVED participó en la estrategia “Circulo de Saberes Creativos” liderada por la Oficina Asesora de Comunicaciones y Pedagogía y en la cual se diseñó junto con familiares que buscan a personas dadas por desaparecidas en la propuesta de un documental que permita visibilizar distintas experiencias de búsqueda, se hizo la presentación de insumos para la elaboración de piezas didácticas: se definieron e identificaron necesidades de socialización de temas de interés para las personas que buscan a sus seres queridos y se presentaron a la oficina asesora de comunicaciones y pedagogía, tres propuestas de juegos que permitan la socialización de los temas, a saber, Lotería de la participación, con la cual se pretende apropiar las características del mandato de la UBPD; Ejercicio “Humanitario” y “Judicial”, el cual permite comprender los conceptos del carácter humanitario y judicial de la UBPD, se diseñaron  fichas para socializar el SIVJRNR y el Mandato de la UBPD; se entregaron insumos y se elaboró conjuntamente con la oficina asesora de comunicaciones y pedagogía un diseñó de iconografías para la creación de unas fichas que permitan explicar la conformación del SIVJRNR y las características de la UBPD, y se diseñaron fichas para socializar los principios del protocolo de relacionamiento con pueblos y comunidades indígenas. -En conjunto con la oficina de gestión del conocimiento se viene diseñando la evaluación de la estrategia metodológica.
Finalmente, frente a la implementación de la estrategia metodológica del proceso de participación con familiares en el exilio, se ha venido sosteniendo un proceso de relacionamiento con organizaciones acompañantes y de víctimas de familias en situación de exiliadas, refugiadas e inmigrantes. A partir de este proceso, se construyó conjuntamente con las familias, un plan de trabajo que busca fortalecer las condiciones de participación, para ser desarrollado durante seis meses, que permita continuar con el proceso de diálogos de ampliación de información o de documentación de los casos que fueron entregados a la UBPD y el mapeo de las familias en situación de exiliadas, refugiadas e inmigrantes, en el proceso de búsqueda humanitaria y extrajudicial y organizaciones acompañantes en los países del Cono Sur y Europa, entre otros.</t>
  </si>
  <si>
    <t>457 personas con asesoría, orientación y fortalecimiento para la participación en la búsqueda</t>
  </si>
  <si>
    <t>200 personas con asesoría, orientación y fortalecimiento para la participación en la búsqueda</t>
  </si>
  <si>
    <t>Se encuentra en nivel de riesgo con una ejecución inferior del 4,3% (107) personas, con respecto de la meta prevista del 20,8% (520) personas al 2do trimestre 2019. En tal sentido, se sugiere que desarrollen estratégias para fomentar los dialogos con todas las personas o familiares que hayan solicitado la búsqueda de personas dadas por desaparecidas.</t>
  </si>
  <si>
    <t>Base registro proceso de participación.
Base Diálogos Colectivos
Base de registro unificada de la DIPL.Ruta E:\lordonezg\Documents\Back Up's\Respuestas Solicitudes\Solicitudes (respuestas) 30-06-19.xlsx</t>
  </si>
  <si>
    <t>Durante el segundo trimestre la DPCVED ha asesorado, orientado y fortalecido a 145 personas. Las mismas corresponden a 106 diálogos iniciales (133 personas), 23 diálogos de de documentación (11 personas) y 4 acciones de orientación, asesoría y fortalecimiento para la participación. (1 persona) 
De los 106 diálogos iniciales, 41 de estos con la participación de 53 personas, fueron realizados por el equipo territorial, según reporte de la Dirección de Información, Planeación y Localización -DIPL-. Sin embargo, la DIPL, advierte que dicho reporte se encuentra en proceso de migración y verificación con la base de registro unificada, proceso que es dispendioso, por lo que no se podría tomar como cifra final o definitiva.</t>
  </si>
  <si>
    <t>145 personas con asesoría, orientación y fortalecimiento para la participación en la búsqueda</t>
  </si>
  <si>
    <t>360 personas con asesoría, orientación y fortalecimiento para la participación en la búsqueda</t>
  </si>
  <si>
    <t>Sugerimos evaluar la meta para los siguientes cortes, toda vez que, para este corte superó la meta en un 67,5%, tomándose como una victoria temprana, pero de seguir con esta tendencia podría subestimarse al finalizar el año. Esto puede reflejar errores y debilidades en la planeación de la Dirección.</t>
  </si>
  <si>
    <t>1. Base de datos solicitudes individuales en proceso de participación 
2. Base de datos solicitudes colectivas en proceso de participación 
3. Formato de solicitudes de participación individual
Los soportes no se comparten para guardar la confidencialidad y datos de las familias. Los mismos están ubicados en la siguiente ruta D:\LAREVALON\Documents\2019\informes dir participación\primer trimestre reporte hoja de vida indicadores\Informe trimestral</t>
  </si>
  <si>
    <t>Durante el primer trimestre la Dirección de Participación, contacto con las víctimas y Enfoques diferenciales ha asesorado, orientado, apoyado y fortalecido a 268 personas. De estas, 14 personas han iniciado el proceso de participación en la búsqueda de sus familiares y 254 han sido asesoradas en el mandato y misionalidad de la UBPD para presentar solicitudes de búsqueda.</t>
  </si>
  <si>
    <t>268 personas con asesoría, orientación y fortalecimiento para la participación en la búsqueda</t>
  </si>
  <si>
    <t>160 personas con asesoría, orientación y fortalecimiento para la participación en la búsqueda</t>
  </si>
  <si>
    <t xml:space="preserve">1. Copia de contratos suscritos
2. Relación contratistas mes septiembre proyecto impulso al proceso de identificación de los cadáveres en condición de no identificados en Colombia </t>
  </si>
  <si>
    <t xml:space="preserve">Se contrataron seis equipos técnicos de seis personas cada uno. Quienes iniciaron las labores de registro de datos en SIRDEC y en el instrumento para el diagnostico de los casos en los cuales el cadáver continúa sin identificar y estarán ubicadas en seis direcciones regionales del INMLyCF. </t>
  </si>
  <si>
    <t>0 Acciones de Impulso implementadas para la identificación</t>
  </si>
  <si>
    <t>Pese a que no aplica la medición, se sugiere adelantar la suscripción de un convenio con el INMLCF, de tal forma que se facilite la accesibilidad de los casos registrados en Nariño y Norte de Santander</t>
  </si>
  <si>
    <t xml:space="preserve">Cronograma de la capacitación. 
Cronograma de las actividades para los dos departamentos. </t>
  </si>
  <si>
    <t xml:space="preserve">Se realizaron las actividades para el desarrollo de la prueba piloto del diagnostico del estado de identificación en los departamentos de Nariño y Norte de Santander. </t>
  </si>
  <si>
    <t xml:space="preserve">Se realizaron las actividades para el desarrollo de la prueba piloto del diagnóstico del estado de identificación en los departamentos de Nariño y Norte de Santander. </t>
  </si>
  <si>
    <t>1. Matriz ID excel 31.01.2019</t>
  </si>
  <si>
    <t xml:space="preserve">Se diseñó el instrumento para el diagnóstico de los casos en los cuales el cadáver continúa sin identificar </t>
  </si>
  <si>
    <t>Documento borrador del procedimiento de entrega de cadáveres
Reuniones de trabajo con la Subdirección de Servicios Forenses del INMLyCF.</t>
  </si>
  <si>
    <t>Se inició el diseño del documento: Procedimiento para la entrega de cadáveres y elementos asociados al Instituto Nacional de Medicina Legal y Ciencias Forenses. Reuniones de trabajo con la Subdirección de Servicios Forenses del INMLyCF.</t>
  </si>
  <si>
    <t>0% de procesos de identificación monitoreados</t>
  </si>
  <si>
    <t>Es necesario iniciar la documentación del procedimiento y su flujograma bajo los formatos estandarizados de la consutoría que se encuentra diseñando y diagramando procesos y procedimientosde tal forma que estos sean codificados e incluidos en el sistema de gestión de la UBPD y poderlos así utilizar durante los monitoreos a los procesos de idenficación. Se sugiere, realizar un cronograma de trabajo detallado donde se identifiquen las actividades previstas para realizar el monitoreo de los casos en el INMLCF en lo que resta de la vigencia. Así mismo, es necesario determinar cuantos casos serán monitoreados durante el último trimestre
NOTA: Tenga presente que este indicador se encuentra asociado al Proyecto de Inversión BPIN 2018011000907 específicamente en el producto Servicio de validación de los informes de identificación. Por lo tanto, la información reportada en el Plan de Acción debe corresponder con el avance obtenido en este indicador y reportado mensualmente durante el seguimiento a proyectos de inversión en el SPI.</t>
  </si>
  <si>
    <t>Flujograma monitoreo del proceso de identificación ajustado</t>
  </si>
  <si>
    <t>Se terminó el diseño del procedimiento de monitoreo del proceso de identificación</t>
  </si>
  <si>
    <t>No aplica, la meta prevista es cero. Sin embargo, valoramos el avance cualitativo reportado, toda vez que brinda un contexto del proceso para llegar a la meta en el 4to trimestre. Finalmente, sugerimos la permanente alineación de la meta de este indicador con el indicador 48, toda vez que los dos se encuentran en el 4to trimestre y la secuencia deberá permitir el cumplimiento de ambos.</t>
  </si>
  <si>
    <t>1. Flujograma monitoreo id 05-04-2019</t>
  </si>
  <si>
    <t>Se inició el diseño del procedimiento de monitoreo del proceso de identificación</t>
  </si>
  <si>
    <t xml:space="preserve">Acta de inicio del contratos: herramientas 074.  Procedimiento de recuperación. </t>
  </si>
  <si>
    <t xml:space="preserve">Se adquirierón las herramientas y elementos requeridos para realizar las labores de recuperación de personas dadas por desaparecidas en el marco de la misionalidad de la UBPD de acuerdo a las especificaciones técnicas establecidas en la DTPRI. La elaboración del procedimiento de recuperación está siendo evaluado por la firma consultora encargada del tema, no sin antes indicar que la construcción del documento se inició en el primer trimestre bajo el nombre de procedimiento. </t>
  </si>
  <si>
    <t>0 cuerpos recuperados</t>
  </si>
  <si>
    <t>Es necesario que estos formatos sean incluidos en el sistema de gestión de la UBPD, en tal sentido, se sugiere iniciar la solicitud de inclusión de los formatos a la Oficina Asesora de Planeación para que estos sean codificados e incluidos en la carpeta Drive, de tal forma que puedan ser utilizados durante la recuperación de cuerpos en el 4to trimestre.. Se sugiere, tener un plan de contingencia para contribuir con la recuperación de cuerpos realizada en coordinación interinstitucional con el fin de mitigar un posible incumplimiento para el último trimestre de 2019.
NOTA: Tenga presente que este indicador se encuentra asociado al Proyecto de Inversión BPIN 2018011000907 específicamente en el producto Servicio de recuperación de cuerpos. Por lo tanto, la información reportada en el Plan de Acción debe corresponder con el avance obtenido en este indicador y reportado mensualmente durante el seguimiento a proyectos de inversión en el SPI.</t>
  </si>
  <si>
    <t>1. Formato de continuidad del aseguramiento de los elementos asociados al cuerpo. 
2. Formato de solicitud de análisis del cuerpo</t>
  </si>
  <si>
    <t>Se elaborarón formatos anexos al procedimiento de recuperación</t>
  </si>
  <si>
    <t>No aplica, la meta prevista es cero. Sin embargo, valoramos el avance cualitativo reportado, toda vez que brinda un contexto del proceso para llegar a la meta en el 4to trimestre del año. Sugerimos mantener la alineación de la meta de este indicador con las acciones y ajustes previstos por la SGTT y la DTIPL, de tal forma que la secuencia permita lograr el resultado.</t>
  </si>
  <si>
    <t>1. Flujograma diligencia de recuperación ubpd version 2</t>
  </si>
  <si>
    <t>Se inició la elaboración del procedimiento de prospección</t>
  </si>
  <si>
    <t xml:space="preserve">Actas de inicio de los contratos: herramientas 074. Documento: Temas propuestos por las direcciones técnicas de la UBPD para formación y capacitación de los equipos </t>
  </si>
  <si>
    <t>Se adquirierón los equipos requeridos para realizar las labores de recuperación de personas dadas por desaparecidas en el marco de la misionalidad de la UBPD de acuerdo a las especificaciones técnicas establecidas en la DTPRI. Posterior al proceso contractual se tiene previsto la recepción de los mismos para diciembre de 2019, por lo anterior se planea valorar los metodos con equipos prestados o alquilados de acuerdo a disponibilidad en otras instituciones. Con relación a los temas de capacitación a los expertos del área se envió un documento con las temáticas y el plan de formación de los servidores de la DTPRI.</t>
  </si>
  <si>
    <t>0 métodos de recuperación valorados</t>
  </si>
  <si>
    <t>1 métodos de recuperación valorados</t>
  </si>
  <si>
    <t>No aplica, debido a que la meta prevista es cero. Sin embargo, valoramos el avance cualitativo reportado, toda vez que brinda un contexto del proceso para llegar a la meta prevista en el 3er y 4to trimestre del año. Por último, se sugiere considerar diferentes estratégias de contingencia para poder evaluar los métodos de prospección durante los procesos contractuales proyectados</t>
  </si>
  <si>
    <t xml:space="preserve">1. Fichas técnicas, 
2. Análisis del sector y 
3. Análisis del mercado. </t>
  </si>
  <si>
    <t xml:space="preserve">Se realizarón actividades administrativas para la compra de los elementos, y equipos tecnologicos necesarios para realizar las actividades de recuperación. </t>
  </si>
  <si>
    <t>No aplica, debido a que la meta prevista es cero. Sin embargo, valoramos el avance cualitativo reportado, toda vez que brinda un contexto del proceso para llegar a la meta prevista en el 3er y 4to trimestre del año. Por último, sugerimos agilizar la adquisición de los equipos escogidos en el primer semestre, para poder valorar los métodos durante el segundo semestre.</t>
  </si>
  <si>
    <t>1. Acta de elaboración de la ficha de los indicadores con la oficina asesora de planeación</t>
  </si>
  <si>
    <t>Se escogieron los tres métodos de recuperación a valorar: 
1. Aplicación de las técnicas tradicionales de la arqueología forense
2. Aplicación de técnicas de fotogrametría en los procesos de recuperación forense 
3. Generación de interferometría (medición laser)</t>
  </si>
  <si>
    <t xml:space="preserve">Actas de inicio de los contratos 129, 130, 131 y 132 con cada uno de los proponentes. Procedimiento de prospección. </t>
  </si>
  <si>
    <t xml:space="preserve">Se adquirierón los equipos requeridos para realizar las labores de localización y prospección de personas dadas por desaparecidas en el marco de la misionalidad de la UBPD de acuerdo a las especificaciones técnicas establecidas en la DTPRI, cuya entrega será en el cuatro trimestre de 2019. Por lo anterior, se planea realizar las prospecciones con equipos prestados o alquilados de acuerdo a disponibilidad en otras instituciones. 
Por otra parte, la elaboración del procedimiento de prospección está siendo evaluado por la firma consultora encargada del tema, no sin antes indicar que la construcción del documento se inició en el primer trimestre bajo el nombre de procedimiento. </t>
  </si>
  <si>
    <t>0 prospecciones realizadas</t>
  </si>
  <si>
    <t>Es necesario que estos formatos sean incluidos en el sistema de gestión de la UBPD, en tal sentido, se sugiere iniciar la solicitud de inclusión de los formatos a la Oficina Asesora de Planeación para que estos sean codificados e incluidos en la carpeta Drive, de tal forma que puedan ser utilizados durante las prospecciones previstas en el 4to trimestre. Por último, se sugiere tener un cronograma detallado donde se programen las prospecciones con el fin de mitigar un posible incumplimiento para el último trimestre de 2019.</t>
  </si>
  <si>
    <t>1. Formato de aseguramiento de prospección. 
2. Formato de informe de prospección</t>
  </si>
  <si>
    <t>Se elaborarón formatos anexos al procedimiento de prospección.</t>
  </si>
  <si>
    <t>Sugerimos mantener alineada la meta de este indicador con las acciones y resultados de la DTIPL, de forma que la secuencia permita lograr el resultado esperado. Debido a que la meta está concentrada en el final de año, no es posible establecer alertas oportunas sobre su cumplimiento.</t>
  </si>
  <si>
    <t>1. Flujograma diligencia de prospección ubpd version 2</t>
  </si>
  <si>
    <t xml:space="preserve">Se inició la elaboración del procedimiento de prospección </t>
  </si>
  <si>
    <t xml:space="preserve">Actas de inicio de los contratos 129, 130, 131 y 132 con cada uno de los proponentes. Documento: Temas propuestos por las direcciones técnicas de la UBPD para formación y capacitación de los equipos </t>
  </si>
  <si>
    <t>Se adquirierón los equipos requeridos para realizar las labores de localización y prospección de personas dadas por desaparecidas en el marco de la misionalidad de la UBPD de acuerdo a las especificaciones técnicas establecidas en la DTPRI. Posterior al proceso contractual se tiene previsto la recepción de los mismos para diciembre de 2019, por lo anterior se planea valorar los metódos con equipos prestados o alquilados de acuerdo a disponibilidad en otras instituciones. Con relación a los temas de capacitación a los expertos del área se envió un documento con las temáticas y el plan de formación de los servidores de la DTPRI.</t>
  </si>
  <si>
    <t>0 métodos de prospección valorados</t>
  </si>
  <si>
    <t>1 métodos de prospección valorados</t>
  </si>
  <si>
    <t>No aplica, debido a que la meta prevista es cero. Sin embargo, valoramos el avance cualitativo reportado, toda vez que brinda un contexto del proceso para llegar a la meta prevista en el 3er y 4to trimestre del año. Por último, se sugiere considerar diferentes estratégias de contingencia para realizar las valoraciones de los métodos de prospección durante los procesos de contractuales proyectados.</t>
  </si>
  <si>
    <t xml:space="preserve">Fichas técnicas de los equipos de arqueología, topografía y geofísica. </t>
  </si>
  <si>
    <t xml:space="preserve">Se realizarón actividades administrativas para la compra de los equipos tecnologicos necesarios para desarrollar las actividades de prospección. </t>
  </si>
  <si>
    <t xml:space="preserve">1. Acta de elaboración de la ficha de los indicadores con la oficina asesora de planeación </t>
  </si>
  <si>
    <t>Se escogieron los tres métodos de prospección a valorar: 
1. Radar de penetración o GPR (ground penetrating radar)
2. Método electromagnético y 
3. Resistivímetro.</t>
  </si>
  <si>
    <t>Los planes de búsqueda con hipótesis de localización para los municipios de Bagadó, Curumaní, Carrizal y Facatativá se encuengran formulados. Estos planes contienen una descripción de las unidades de análisis, así como una fundamentación de la hipótesis de los acaecido y el paradero de las personas dadas por desaparecidas.</t>
  </si>
  <si>
    <t>4 planes con hipótesis de localización formulados</t>
  </si>
  <si>
    <t>3 planes con hipótesis de localización formulados</t>
  </si>
  <si>
    <t>8 planes con hipótesis de localización formulados</t>
  </si>
  <si>
    <t>Este indicador se encuentra en incumplimiento (nivel crítico), pues se tenía proyectado tener elaborado un plan con hipótesis de localización para el presente período, pero el avance es cero. Es necesario tener en cuenta, además, que la meta de este indicador se disminuyó en el segundo trimestre de acuerdo a lo solicitado y acordado con la DTIPLB y la SAPLB, pues, según se indicó, no tendrían elaborados los dos planes inicialmente planteados sino uno. Teniendo en cuenta que este cambio fue solicitado el 14 de junio, se daba por hecho que se lograría el avance cuantitativo y no se explica aquí qué inconvenientes se tuvieron para no lograrlo ni tampoco qué acciones se están desarrollando para formularlos.
Por otra parte, según lo indicado en el avance cualitativo, pareciera que se incrementarán los planes de 8 a 11, lo que no resulta coherente con el actual nivel de cumplimiento de la meta.
NOTA: Tenga presente que este indicador se encuentra asociado al Proyecto de Inversión BPIN 2018011000907 específicamente en el producto Documentos metodológicos. Por lo tanto, la información reportada en el Plan de Acción debe corresponder con el avance obtenido en este indicador y reportado mensualmente durante el seguimiento a proyectos de inversión en el SPI.</t>
  </si>
  <si>
    <t>Debido a que la información que fue usada para la construcción de estos planes es confidencial, las rutas de trabajo y los informes de avance investigativo (soportes de avance) se encuentran en una carpeta en Drive denominada "Rutas de investigación 31/03/2019", en los links referenciados en el soporte del primer trimestre, donde se actualizará la información en esos mismos archivos de cada uno de los planes de búsqueda.
NOTA: El documento que da cuenta de los avances del trabajo que se viene realizando para la entrega del primer plan de búsqueda con hipótesis de localización se encuentra en el link N° 2 referenciado en el avance del primer trimestre.</t>
  </si>
  <si>
    <t xml:space="preserve">Se avanzó en la construcción de 4 líneas de investigación adicionales a las 7 inicialmente reportadas para un total de 11 planes que se encuentran en etapa de recolección y análisis de la información. Aproximadamente 20 personas incluidas en estos planes, están ad portas de hacerse proceso de localización para poder entregar el plan correspondiente, por lo cual es importante aclarar que un plan puede involucrar a varias personas desaparecidas pero no necesariamente en la localización se dará cuenta del total de ellas. 
Por otro lado, para este trimestre no se entrega el producto teniendo en cuenta que estamos en proceso de diálogo con la Dirección General para unificar las características y los elementos que debe incluir este plan en fase de localización. </t>
  </si>
  <si>
    <t>0 planes con hipótesis de localización formulados</t>
  </si>
  <si>
    <t>1 planes con hipótesis de localización formulados</t>
  </si>
  <si>
    <t>El avance cualitativo reportado brinda un contexto del proceso para llegar a la meta prevista en los siguientes trimestres del año. Es importante aclarar si cada una de las líneas de investigación corresponderá a un Plan regional de búsqueda con hipótesis de localización. ¿Es equivalente Plan Regional a línea de investigación?
Validar nombre y descripción del indicador, en rojo.</t>
  </si>
  <si>
    <t>1. Debido a que la información que fue usada para la construcción de estos planes es confidencial, las rutas de trabajo y los informes de avance investigativo (soportes de avance) se encuentran en una carpeta en Drive denominada "Rutas de investigación 31/03/2019": https://drive.google.com/drive/folders/1QERZ18FKv2x52sXk6z7xDktGrnHYdBOQ. Esta carpeta contiene a su vez 7 subcarpetas con cada una de las rutas de investigación mencionadas: 1) San Carlos de Guaroa (Meta) : https://drive.google.com/drive/folders/14UQvMzLCwPHf-oD3fH6sFrKAGUQEqG6i ; 2) Bagadó (Chocó) : https://drive.google.com/drive/folders/1FiqVBk4diagYbvjgdNtXOjOpazV0FHp2 ; 3) Caquetá: https://drive.google.com/drive/folders/1H0bpyIXrWdG8EzFnOJ_LauoCldftp7sW ; 4) Sevilla (Valle del Cauca): https://drive.google.com/drive/folders/1KM-59FqPGLF29j6mDjaP80sWXUsSfvXj; 5) Nariño: https://drive.google.com/drive/folders/10jh-RCkRGnGoaImdSF2iAUj6TJPYa1Qq; 6) personas retenidas ilegalmente por las FARC cuyo paradero sigue siendo desconocido: https://drive.google.com/drive/folders/1sG5jg2Z7whGG5lMj9CgqNsMHNFopYPm0 y 7)aproximación a la construccion de planes relacionados con los 16 lugares objeto de medidas cautelares: https://drive.google.com/drive/folders/1AMPuau0IEXizO81BVNXnXrfOcq8zM_PA</t>
  </si>
  <si>
    <t>Se avanzó en la construcción de rutas para 7 líneas de investigación que están relacionadas con la búsqueda de grupos de personas desaparecidas por un mismo actor en un periodo. Cinco de estos planes están focalizados en municipios de los siguientes departamentos del país: 1) San Carlos de Guaroa (Meta) , 2) Bagadó (Chocó), 3) San Vicente del Caguán, Cartagena del Chairá, Solano, Montañita, Milán, Doncello, Puerto Rico y Paujil (Caquetá) ,4) Sevilla (Valle del Cauca) y 5) Nariño. Las rutas de investigación restantes corresponden a situaciones que abarcan una dinámica nacional, estos dos planes son los de personas retenidas ilegalmente por las FARC cuyo paradero sigue siendo desconocido y aproximación a la construcción de planes relacionados con los 16 lugares objeto de medidas cautelares.</t>
  </si>
  <si>
    <t>0 planes con hipótesis de localización</t>
  </si>
  <si>
    <t>a) Documento de avance del Renafos, b) Presentación a la OPIAC de los avances en la construcción del Registro Nacional de Fosas, Cementerios Ilegales y Sepulturas; y c) Documento del procedimiento del Renafos.</t>
  </si>
  <si>
    <t>Se llevó a cabo la reunión del equipo conformado en la Dirección para la estructuración del documento el pasado 19 de septiembre, donde se presentó el avance de la conceptualización y se definieron algunos aspectos como la definición para el sistema de información del registro, lo cual quedó documentado en el informe de avance, que presenta la propuesta temática de las variables a tener en cuenta, la propuesta conceptual para el sistema y el primer modelo para la base de datos la cual estará integrada al sistema de información misional de la UBPD. Por otro lado, se realizó la primera reunión con la empresa consultora para el levantamiento del proceso del Registro Nacional de Fosas (Renafos), como resultado de esta se tiene la primera versión del documento del proceso, en el cual se definió un primer flujo de trabajo.
Las actividades se han llevado a cabo de acuerdo a lo programado en el plan de acción:
Actividad 1: se cuenta con documento de avance sobre la propuesta metodológica para la elaboración del Registro Nacional de Fosas, Cementerios ilegales y sepulturas tal como se evidencia en el soporte ya enviado en el reporte. 
Las otras dos actividades asociadas a este indicador se estan llevando a cabo según las fechas establecidas.</t>
  </si>
  <si>
    <t>0 documentos sobre el registro nacional de fosas, cementerios ilegales y sepulturas elaborados</t>
  </si>
  <si>
    <t>A la fecha el indicador no tiene programado avance numérico, por lo que no aplica la lectura trimestral acumulada. Se valora la información cualitativa indicada, que permite entender el avance de las actividades proyectadas para el cumplimiento del indicador y su posterior reporte numérico en el futuro.</t>
  </si>
  <si>
    <t>Se adjunta en fomato excel el plan de trabajo que da cuenta del avance cualitativo reportado.</t>
  </si>
  <si>
    <t>Dentro del análisis de información recibida se han hecho ejercicios de georreferenciación de los sitios donde presuntamente hay existencia de fosas; hay que tener en cuenta que la georreferenciación esta dada con posibles niveles de precisión. En tal virtud se cuenta con un plan de trabajo que servirá de insumo para la contrucción del documento sobre el registro nacional de fosas, cementerios ilegales y sepulturas.</t>
  </si>
  <si>
    <t>Aunque la meta prevista en el periodo de reporte es cero, valoramos el avance cualitativo informado, pues facilita entender el proceso para llegar a la meta establecida.
Teniendo en cuenta que el indicador refleja la construcción de un solo documento, sería pertinente sería solicitar a la OAP la modificación de la medición para que establecer hitos de avance. Validar redacción de lo indicado en rojo.</t>
  </si>
  <si>
    <t>1. Múltiples archivos con información geográfica en formatos de Geo Data Bases y Shapefiles e informe inicial de localización de sitios (No se envían ya que contienen información sensible sobre la presunta ubicación de lugares de disposición de cuerpos)</t>
  </si>
  <si>
    <t>Aunque no se ha iniciado de forma explícita el trabajo de construcción del Registro Nacional de Fosas, Cementerios Ilegales y Sepulturas, se ha avanzado en la georreferenciación de algunos sitios de los cuales se ha tenido conocimiento sobre la posible existencia de fosas con personas dadas por desaparecidas.</t>
  </si>
  <si>
    <t>a) Documento borrador y en fase de consolidacion de la metodologia del establecimiento del universo, b) planilla de asistencia de la mesa de trabajo realizada el pasado 16 de septiembre de 2019 con el órgano interlocutor Indigena y c) presentación a la OPIAC de los avances en la construcción de una metodología para el establecimiento del Universo de Personas dadas por Desaparecidas.</t>
  </si>
  <si>
    <t>La Dirección de Información viene estructurando los dos documentos: 1) el de metodología del establecimiento del universo y 2) el de avance sobre el establecimiento del universo, con el fin de dar cumplimiento en el ultimo trimestre a este indicador realizando la respectiva entrega.  Por otro lado, es importante señalar que el pasado 16 de septiembre se llevó a cabo una mesa de trabajo con miembros del órgano de interlocución indígena ante el SIVJRNR, con el objetivo de dar inicio a la formulación y establecimiento del censo nacional de personas dadas por desaparecidas pertenecientes a pueblos indígenas. Este relacionamiento es parte integral de la construcción de estos documentos, teniendo en cuenta que una de las grandes deficiencias  de este tipo de fenomenos es su falta enfoque diferencial. 
Las actividades se han venido desarrollando de acuerdo a lo programado en el plan de acción:
i) Elaborar propuesta de metodología a partir de sistematizaciones realizadas por otras instituciones y organizaciones:
• Se definieron los retos, los usuarios y los objetivos para obtener el universo de las personas dadas por desaparecidas.
• Se analizaron los diferentes escenarios de las instituciones nacionales e internacionales que manejan información sobre las personas dadas por desaparecidas.
• Adicionalmente, a lo largo del año la UBPD ha implementado técnicas para realizar el levantamiento de información en las diferentes áreas (gestión documental, sistema misional el cual incluye el componente geográfico), logrando implementar cruces que acercan a la UBPD al objetivo de obtener el universo de personas dadas por desaparecidas.  
ii) Revisar y ajustar metodología: 
• Dando cumplimiento a la visión de la UBPD, a lo largo del año se ha venido adquiriendo el conocimiento que le dará a la UBPD la implementación de   metodologías para la búsqueda humanitaria y extrajudicial de personas que contribuyan a la dignificación de las víctimas. Este conocimiento se ha adquirido mediante el análisis del levantamiento de información a través de las diferentes fuentes y sus respectivos cruces, esperando en un futuro poder articular la información recibida por las diferentes áreas en un solo sistema.
iii) Cruzar y depurar fuentes de información disponibles: Se ha venido trabajando durante todo el año implementando técnicas para que sea más eficiente el trabajo y tener mayor precisión de los datos. Cotidianamente se cruzan los datos del Observatorio de Memoria y COnficto, del SIRDEC y la UARIV.</t>
  </si>
  <si>
    <t>0 documentos sobre el universo de personas dadas por desaparecidas en el contexto y en razón del conflicto armado elaborados.</t>
  </si>
  <si>
    <t>2 documentos sobre el universo de personas dadas por desaparecidas en el contexto y en razón del conflicto armado elaborados.</t>
  </si>
  <si>
    <t>Los soportes no tienen que ser la información específica que se ha recolectado y cuyo carácter es confidencial, pues el indicador se refiere a los documentos que se elaborarán sobre esa base. En ese sentido, se tendrían que adjuntar evidencia como por ejemplo, la metodología en la que se está trabajando para consolidar la información, y/o pantallazos de la ubicación de las solicitudes que se han registrando, entre otras.
Por otra parte, sería pertinente informar también, como se hizo en el primer trimestre, qué acciones se han realizado para avanzar en la construcción de los dos documentos que son la meta cualitativa, pues la información se refiere a las solicitudes recibidas, que son insumo fundamental para los documentos, pero no a estos en sí, que constituyen el eje del indicador.
La OAP reitera la recomendación de formular un indicador que refleje la información que se indica en el presente reporte de avance cualitativo, correspondiente al número total de solicitudes que recibe la entidad, pues actualmente en el Plan de Acción se cuenta con uno que solo refleja parcialmente este asunto (el número a cargo de la SGTT) y que tiene un carácter más bien operativo para seguimiento a las actividades de las oficinas territoriales.
NOTA: Tenga presente que este indicador se encuentra asociado al Proyecto de Inversión BPIN 2018011000907 específicamente en el producto Documento de investigación. Por lo tanto, la información reportada en el Plan de Acción debe corresponder con el avance obtenido en este indicador y reportado mensualmente durante el seguimiento a proyectos de inversión en el SPI.</t>
  </si>
  <si>
    <t>Atendiendo el carácter confidencial de la información no se anexan soportes, pero las evidencias del reporte se remiten en pantallazo las cuales se encuentran en la carpeta workstation//SGI-BOG-011-FUENTES DE INFORMACION ubicada en la Subdirección de Gestión de Información.</t>
  </si>
  <si>
    <t xml:space="preserve">Se viene adelantando la metodología para consolidar la información de las solicitudes de búsqueda individuales y colectivas que nos dan cuenta 1.322 personas dadas por desaparecidas. Adicionalmente se han identificado en los trabajos de investigación alrededor de 484 personas que posiblemente puedan coincidir con el registro inicial cuantificado en las 1.322 solicitudes. </t>
  </si>
  <si>
    <t>Aunque la meta para el periodo de reporte es cero, valoramos el avance cualitativo indicado, toda vez que brinda peso y comprensión del proceso para lograr el avance cuantitativo.
Es pertinente ajustar la distribución de la meta, pues se entiende que el documento de metodología se construirá previamente al documento de avance sobre el establecimiento de dicho universo. Validar redacción de lo indicado en rojo.</t>
  </si>
  <si>
    <t xml:space="preserve">1. Documento en borrador: " 042 - Consideraciones para la planeación de la conformación del Universo de Personas Dadas por Desaparecidas en el contexto y en razón del conflicto armado" que se encuentra en drive en la unidad de equipo Plan de Acción 2019, Carpeta Soportes Primer Trimestre. </t>
  </si>
  <si>
    <t>Se han desarrollado reuniones internas de trabajo para abordar la elaboración de los documentos sobre el universo de personas dadas por desaparecidas en el contexto y en razón del conflicto armado. En tal sentido, se inició la construcción de un documento con consideraciones para la planeación de la conformación de este universo. En este documento se propone el entendimiento de la UBPD sobre lo que es el universo, sus objetivos, usuarios, algunos antecedentes internacionales en la materia y los principales retos para su conformación.</t>
  </si>
  <si>
    <t>0 documentos sobre el universo de personas dadas por desaparecidas en el contexto y en razón del conflicto armado elaborados en doce meses</t>
  </si>
  <si>
    <t xml:space="preserve">Se encuentran digitalizados y almacenados, con accesos controlados, en la máquina Workstation SGI-BOG-011 a cargo de la Subdirección de Gestión de Información para la Búsqueda y compartidos también con control de acceso, en el drive de trabajo colaborativo "Fuentes de información de la DIPLOB". </t>
  </si>
  <si>
    <t>Durante el tercer trimestre del año se han recibido en la UBPD 65.265 archivos con información relacionada con la búsqueda de personas dadas por desaparecidas. Así mismo 57.161 se encuentran registrados y descritos en el registro de fuentes de la entidad. Con lo anterior el avance del indicador es de 87,58%. 
NOTA: Se considera oportuno señalar que la matriz donde reposa dicha información está en proceso de actualización respecto de unos campos orientados a la misionalidad de la entidad, atendiendo a la construcción de procesos y procedimientos que se encuentra adelantando la UBPD. Finalizando el trimestre la matriz quedará consolidada en este nuevo formato. 
Las actividades que hacen parte del indicador se registran en matriz adjunta con su respectivo seguimiento.
Se tendrá en cuenta la retroalimentación realizada por la OAP sobre la subestimación de meta, esta información será la línea base en el diseño de próximas metas que den cuenta de la gestión de la Dirección.</t>
  </si>
  <si>
    <t>No es acumulado</t>
  </si>
  <si>
    <t>88% de información para la búsqueda recolectada, sistematizada y centralizada.</t>
  </si>
  <si>
    <t>60% de información para la búsqueda recolectada, sistematizada y centralizada.</t>
  </si>
  <si>
    <t>Ya que el cumplimiento se encuentra subestimado en un 480%, es necesario revisar si la distribución de la meta siguen siendo coherente tras haber modificado la fórmula del indicador y, si es correcta, considerar un incremento de la proyección anual que sea más coherente con el avance logrado.</t>
  </si>
  <si>
    <t>Se encuentran digitalizados y almacenados, con accesos controlados, en la máquina Workstation SGI-BOG-011 a cargo de la Subdirección de Gestión de Información para la Búsqueda y compartidos; también con control de acceso, en el Drive de trabajo colaborativo "Fuentes de Información" de la DIPLOB.</t>
  </si>
  <si>
    <t>Durante el segundo trimestre del año se han recibido en la UBPD 64.553 archivos con información relacionada con la búsqueda de personas desaparecidas. Así mismo, 56.531 de ellos se encuentran registrados y descritos en el registro de fuentes de la entidad. Con lo anterior, el avance del indicador es del 88%.</t>
  </si>
  <si>
    <t>87% de información para la búsqueda recolectada, sistematizada y centralizada.</t>
  </si>
  <si>
    <t>La OAP coincide en necesidad de cambiar fórmula de cálculo a "Cantidad de archivos en unidades de descripción documental sistematizados / Cantidad de archivos en unidades de descripción documental recibidos" según estos comentarios:
1. Hacer el cálculo únicamente con las unidades de descripción documental no refleja el esfuerzo real de la tarea, ya que en algunos casos, una única unidad de descripción documental puede tener muchos archivos y en otros casos muy pocos o uno solo. Es más certero con el análisis hablar de las cantidades de archivos.
2. Dado que aún la UBPD no cuenta con un sistema de gestión documental, es difícil llevar el control de cuántas unidades de descripción documental se han recibido y más fácil identificar la cantidad de los archivos recibidos.
Así mismo, se sugiere revisar la meta, teniendo en cuenta que se superó con creces en el periodo reportado.</t>
  </si>
  <si>
    <t>1. Carpeta en workstation \\SGI-BOG-011\Fuentes de Información (No se envía soporte ya que contiene información sensible y además ocupa más de 30GB)
2. Matriz en hoja de cálculo "Registro de fuentes de la entidad" con descripción de los archivos que conforman las unidades de descripción documental sistematizadas. (No se envía soporte ya que contiene información sensible sobre las fuentes de la información recibida).</t>
  </si>
  <si>
    <t>Durante el primer trimestre del año se han recibido en la UBPD 4916 archivos con información relacionada con la búsqueda de personas desaparecidas. La totalidad de ellos se encuentran digitalizados y almacenados, con accesos controlados, en la máquina workstation SGI-BOG-011 a cargo de la Subdirección de Gestión de Información para la Búsqueda y compartidos, también con control de acceso, en el drive de trabajo colaborativo "Fuentes de Información" de la Dirección de Información, Planeación y Localización para la Búsqueda. Así mismo, 2114 de ellos se encuentran registrados y descritos en el registro de fuentes de la entidad. Con lo cual, el avance del indicador corresponde a (2114/4916) igual al 43%.</t>
  </si>
  <si>
    <t>43% de información para la búsqueda recolectada, sistematizada y centralizada.</t>
  </si>
  <si>
    <t>Se adjunta informe de personas dadas por desaparecidas cuya información ha sido recabada por la Unidad de Búsqueda de Personas dadas por desaparecidas.</t>
  </si>
  <si>
    <t>Una vez consolidada en la base del registro unificado la información que llegó a la UBPD por las diversas fuentes tanto internas como externas de las personas dadas por desaparecidas, con corte al 30 de septiembre de 2019, se han tratado e integrado 5.122 registros de personas dadas por desaparecidas y se ha conformado una tabla de datos depurada, que contiene información sobre 4.522 personas únicas, lo cual da cuenta del 88,2% de cumplimiento de la meta.
Este registro de 5.122 corresponde a la consolidación general del año y se seguirá reportando acumulado.
Se sugiere revisar los rangos establecidos por la OAP en el mapa de calor para este indicador que superó la meta solo el 10% y  su nivel es subestimado.</t>
  </si>
  <si>
    <t>88% de las personas dadas por desaparecidas puestas en conocimiento de la UBPD, registradas en las herramientas de la Dirección Técnica de Información, Planeación y Localización para la Búsqueda.</t>
  </si>
  <si>
    <t>80% de las personas dadas por desaparecidas puestas en conocimiento de la UBPD, registradas en las herramientas de la Dirección Técnica de Información, Planeación y Localización para la Búsqueda.</t>
  </si>
  <si>
    <t xml:space="preserve">a) Rutas metodológicas, cronograma de encuentros  a realizar.
b) documento base de discusión para la construcción participativa del PNB (funcionarios y participantes); y
c) listados de asistencia. </t>
  </si>
  <si>
    <t>Teniendo en cuenta que las rutas metodológicas de Bogotá, Bucaramanga, Barranquila, Cali, elaboradas por la SGTT fueron aprobadas por la Dirección General, se procedió a elaborar el cronograma de los encuentros a realizar con actores sociales que hacen parte del Plan Nacional, con el fin de obtener los insumos para la formulación del Plan Nacional de Búsqueda. En este sentido se inció con el desarrollo del primer encuentro el día 30 de septiembre de 2019 en la Ciudad de Bogotá con la participación de ONG de Derechos Humanos y Asociaciones de Familiares de Desaparición Forzada.</t>
  </si>
  <si>
    <t>0 Plan Nacional de Búsqueda formulado</t>
  </si>
  <si>
    <t>El indicador se encuentra en nivel de incumplimiento (crítico), por cuanto para el presente periodo de reporte se encontraba proyectado el 100% del avance y se encuentra en 0. Es especialmente importante, al tratarse de un indicador misional con gran peso en el cumplimiento de la misionalidad de la UBPD.
Resulta necesario revisar las articulaciones entre las dependencias, en los casos de indicadores que tienen acciones que requieren coordinación, más allá de qué área sea responsable del reporte final, para lo que se sugiere una reunión entre la SGTT y la DIPLOB, con la participación de la OAP, en la que se analicen qué ajustes se requeriría hacer en el flujo de actividades.
La OAP aún no ha sido notificada de la solicitud de los posibles cambios de fechas que se están considerando, pero estaremos atentos para brindar la asesoría y apoyo que sea requerido.</t>
  </si>
  <si>
    <t>Se ajdunta la última versíon de la ruta metodologica estructurada por la SGTT pendiente de aporbación para que la DIPLOB pueda empezar el desarrollo de actividades que conllevan a la formulación de la propuesta del Plan Nacional de Búsqueda.</t>
  </si>
  <si>
    <t>La ruta metodológica esta siendo revisada por la Dirección General. Se espera comenzar el cronograma de encuentros en la mayor brevedad.
NOTA: La DIPLOB depende de la aprobación de la ruta metodológica elaborada por la SGTT para poder adelantar los encuentros y demás acciones que de ello se desprende para la formulación de la propuesta del Plan Nacional de Búsqueda; en tal virtud, a la fecha no se ha formulado dicha porpuesta por cuanto se entregó la ruta metodologica para aprobación de la Dirección General en el mes de mayo y no se ha notificado su aporbación. 
Atendiendo a dicha situación, lo cual afecta nuestro indicador, se está analizando que es lo mejor frente a este indicador e inclusive se ha pensado realizar cambios en fechas de entrega, lo cual está en proceso de diálogo con la Dirección General y Sandra Parra Jefe de la OAP.</t>
  </si>
  <si>
    <t>Aunque el documento metodológico está a cargo de la SGTT, se indica en el avance cualitativo que la DTILPB participa en la implementación de la propuesta, por lo que deberían indicarse evidencias o soportes de dicha implementación. Definir si la meta se mantiene para el segundo trimestre. En ese sentido, se requiere verificar coherencia con el indicador 028 a cargo de la SGTT. También se sugiere diseñar hitos o componentes para este, el 040, junto con un cronograma detallado.</t>
  </si>
  <si>
    <t>1. Ruta del proceso de construcción del plan nacional de búsqueda</t>
  </si>
  <si>
    <t>En 2019, la UBPD elaboró un documento metodológico para la formulación del Plan Nacional. Este documento explica que la formulación del plan tendrá tres fases. La primera entre mayo y junio de 2019 consta de 8 talleres con organizaciones de defensa de derechos humanos, con organizaciones de víctimas de desaparición forzada, organizaciones de víctimas de secuestro y con entidades estatales para recoger insumos que puedan incluirse en el Plan Nacional de Búsqueda. Con cada uno de estos grupos se tendrán talleres específicos. En la segunda fase se formulará un borrador del Plan Nacional de Búsqueda que será socializado con las mismas organizaciones y entidades en una tercera fase. El documento final se espera publicarlo en agosto de 2019</t>
  </si>
  <si>
    <t>a) Guía actualizada a 12 de agosto de 2019, y b) construcción del modelo de consentimiento informado aplicado al documento de las medidas de recepción y protección de información proveniente del proceso especial de recolección de información humanitaria.</t>
  </si>
  <si>
    <t xml:space="preserve">Se cuenta con un primer informe sobre el cumplimiento del protocolo de medidas de recepción y protección de información proveniente del proceso especial de recolección de información humanitaria suministrada por el equipo de documentadores FARC. Este informe contiene una síntesis de las actividades realizadas, del cumplimiento de las medidas dispuestas y de los aprendizajes que se obtuvieron en este proceso de recepción de información. 
Respecto de las actividades: 
Actividad 1: Se han diseñado dos protocolos para la protección de información. Ambos soportes han sido adjuntados en anteriores trimestres. 
Actividad 2 y 3: El Plan de monitoreo de protocolos de protección de información, así como su implementación no se han realizado  puesto que el cumplimiento de estas actividades requiere la aprobación formal de los protocolos. Sin embargo los informes que fueron inlcuidos como indicadores de resultado de esta área de efectividad dan cuenta del monitoreo que se ha hecho de los protocolos. En este trimestre se presentó el primer informe. 
Actividad 4: Durante todo el año se ha gestionado el acceso a información de instituciones y organizaciones. Especialmente, se cuenta con los soportes de solicitud de información a: Fiscalía, Hospitales, EPS, Registraduría, IGAC, entre otros. Además, se cuenta con accesos automáticos a bases de datos. Los soportes de estas acciones pueden ser verificados en el archivo de la Dirección de Ifnormación, Planeación y localización.
Actividad 5 y 6 : En el 2019 se identificó la necesidad de la Fiscalía de sistematizar la información de expedientes inactivos que no están registrados en los sistemas de información de esta entidad. Con base en esta necesidad se diseñó un proyeto. El soporte del proyecto se anexa. </t>
  </si>
  <si>
    <t>1 informes generados en virtud del cumplimiento de protocolos de acceso y protección de información</t>
  </si>
  <si>
    <t>El avance cualitativo da cuenta del carácter del indicador y las acciones que se han realizado, conducentes a un futuro reporte cuantitativo.
A la fecha el indicador no tiene programado avance numérico, por lo que no aplica la lectura trimestral acumulada.</t>
  </si>
  <si>
    <t xml:space="preserve">El documento la "Guía e instrucciones para la gestión documental de información que contribuya a la búsqueda de personas dadas por desaparecidas" fue actualizado a 28 de junio de 2019. Se adjunta documento como soporte del avance reportado. Por otro lado adjuntamos estudios previos del profesional proyectado para la Dirección. El documento de medidas para la recepción y protección de información proveniente del proceso especial de recolección de información humanitaria no ha sufrido ninguna modificación. </t>
  </si>
  <si>
    <t xml:space="preserve">Se implementó el documento de medidas para la recepción y protección de información proveniente del proceso especial de recolección de información humanitaria y se siguieron las medidas establecidas en dicho documento. Continúa en revisión y aprobación la "Guía e instrucciones para la gestión documental de información que contribuya a la búsqueda de personas dadas por desaparecidas" por parte de la Dirección General. Se realizaron los estudios previos para contratar al profesional que se encargue de diseñar estrategias que contribuyan al monitoreo de los protocolos de protección y confidencialidad de la información. </t>
  </si>
  <si>
    <t>0 informes generados en virtud del cumplimiento de protocolos de acceso y protección de información</t>
  </si>
  <si>
    <t>Se valora el avance cualitativo, pues permite comprender en qué sentido se avanza hacia la meta prevista para siguientes periodos.
En todo caso, se sugiere evaluar redacción del indicador, dado que, como está planteado, corresponde a un indicador de gestión. Se sugiere reformular para que se concentre en la creación de los protocolos o inventarios de información (ver actividades).</t>
  </si>
  <si>
    <t xml:space="preserve">1. Los dos documentos se pueden encontrar en carpeta drive. Unidad de equipo: Plan de Acción 2019 - Carpeta Soportes primer trimestre </t>
  </si>
  <si>
    <t>Se socializó el documento "Guía e instrucciones para la gestión documental de información que contribuya a la búsqueda de personas dadas por desaparecidas en el contexto y en razón del conflicto armado" en las jornadas de alistamiento y se tomó la decisión de que esta guía con ajustes se convierta en el primer protocolo de protección de información. 
Además se elaboró documento con medidas para la recepción y protección de información proveniente del proceso especial de recolección de información humanitaria.</t>
  </si>
  <si>
    <t>Se adjuntan siete (7) matrices con avances en diligenciamiento para las sedes territoriales de Villavicencio, Cúcuta, San José del Guaviare, Barrancabermeja, Apartadó, Sincelejo y Barranquilla.</t>
  </si>
  <si>
    <t>Se reporta avance en el diligenciamiento de la matriz de caracterización de potenciales fuentes de información por parte de las regionales: Villavicencio, Cúcuta, San José del Guaviare, B/bermeja, Apartadó, Sincelejo y Barranquilla.</t>
  </si>
  <si>
    <t>0 matrices de caracterización de potenciales fuentes de información territorial que aporten a la búsqueda</t>
  </si>
  <si>
    <t>Valoramos el avance cualitativo, que permite entender mejor la herramienta que se adjunta como soporte, a pesar que no está previsto todavía un avance cuantitativo. La información es clara y pertinente, así como el soporte remitido.</t>
  </si>
  <si>
    <t>Herramienta Matriz de fuentes.</t>
  </si>
  <si>
    <t>Se diseñó la matriz de caracterización de potenciales fuentes de información territorial que aporten a la búsqueda y/o se consideren relevantes para el proceso. La matriz invita a los equipos a estar atentos a la variedad de información disponible en los territorios, a tener presente que las particularidades de cada lugar implican diferencias en cuanto a las fuentes disponibles y a indagar de manera constante por la manera en que dichas fuentes brindan insumos de gran importancia para la búsqueda de las personas dadas por desparecidas en el contexto y en razón del conflicto armado.</t>
  </si>
  <si>
    <t>Es necesario revisar este indicador en coordinación con la DTIPLB, para determinar cuáles serán las fuentes a consultar, de qué tipo y en qué territorios, e incluir esta información en los siguientes avances cualitativos.
Verificar a partir de cuándo se medirá el avance cuantitativo, según el reporte cualitativo de este periodo.</t>
  </si>
  <si>
    <t>Se anexan 10 informes de contexto de las sedes territoriales de la UBPD.</t>
  </si>
  <si>
    <t>Con el fin de realizar un monitoreo constante de la situación de contexto y riesgo en términos de seguridad, los equipos territoriales formularon un documento preliminar en el que pusieron en evidencia el estado durante el trimestre en cada una de sus jurisdicciones a nivel general, de conformidad con las orientaciones formuladas por el asesor de seguridad de la Dirección General. Estos son los insumos para la elaboración de los diagnósticos finales que se entregarán en el siguiente período.</t>
  </si>
  <si>
    <t>0 documentos con insumos sobre contexto y situación de riesgo territorial elaborados siguiendo las orientaciones del asesor de protección de la UBPD</t>
  </si>
  <si>
    <t>El avance cualitativo recalca la importancia de la elaboración de los documentos que se mide a través del presente indicador. Sin embargo, dado que como soporte se envió un documento ya elaborado por cada una de las oficinas territoriales (10 en total), se requiere revisar si estos serán realizados mensualmente y no solo uno al final del año, por lo que la meta cambiaría y el indicador no sería acumulado. Estos documentos, en todo caso, se entregan pero no se consideran una victoria temprana ya que no se reportan como avance cuantitativo, por lo que es necesario aclarar la naturaleza del indicador.</t>
  </si>
  <si>
    <t>Documentos de contexto y seguridad del mes de junio de 2019.</t>
  </si>
  <si>
    <t>Con el fin de realizar un monitoreo constante de la situación de contexto y riesgo en términos de seguridad, cada equipo territorial formuló un documento en el que pusieron en evidencia el estado de cada una de sus jurisdicciones a nivel general, de conformidad con las orientaciones formuladas por el asesor de seguridad de la Dirección General.</t>
  </si>
  <si>
    <t>Sería pertinente evaluar la distribución de la meta en los siguientes trimestres, a medida que las sedes territoriales entren en funcionamiento, en lugar de concentrar todo el cumplimiento en el último trimestre del año. Así mismo, sería pertinente señalar en la descripción los componentes que la SGTT espera que tengan esos documentos y aclarar que se construirá un documento por sede.</t>
  </si>
  <si>
    <t>Metodologías de encuentros colectivos, con los respectivos listados de asistencia.</t>
  </si>
  <si>
    <t>A fin de consolidar los procesos de participación en la búsqueda de personas dadas por desaparecidas, reconociendo las capacidades y necesidades de las víctimas, sus organizaciones y los pueblos étnicos, se adelantaron 2 encuentros colectivos de asesoría, orientación, apoyo y fortalecimiento a familiares a cargo de los equipos Territoriales de Puerto Asis y Apartadó de conformidad con los  lineamientos dados por la Dirección de Participación.
Así mismo, se cuenta con la propuesta metodológica para la realización de los encuentros en la sede territorial Villavicencio.</t>
  </si>
  <si>
    <t>2 encuentros colectivos de asesoría, orientación, apoyo y fortalecimiento a familiares realizados</t>
  </si>
  <si>
    <t>0 encuentros colectivos de asesoría, orientación, apoyo y fortalecimiento a familiares realizados</t>
  </si>
  <si>
    <t>Este indicador no tiene avance cuantitativo previsto para el periodo de reporte. Sin embargo, se aprecia la información cualitativa, que permite entender el avance de las actividades que lo componen, de cara a los futuros reportes numéricos.</t>
  </si>
  <si>
    <t>No se adjuntan soportes dado que las metodologías se encuentran en proceso de construcción.</t>
  </si>
  <si>
    <t>Con el objetivo de cumplir con la meta de este indicador prevista a partir del tercer trimestre, los equipos territoriales están avanzando en el diseño metodológico de los encuentros colectivos que deben pasar por aprobación de la SGTT. En este sentido, se avanza en la programación de los mismos para el tercer y cuarto trimestre. Todo indica que esta meta se cumplirá como se ha previsto.</t>
  </si>
  <si>
    <t>En la descripción y en el avance cualitativo se indica que se medirá desde el segundo trimestre, pero la meta está desde el tercero. Tener en cuenta para siguiente reporte.
Aclarar la periodicidad del reporte según el uso de la expresión "y por lo tanto" en la descripción.</t>
  </si>
  <si>
    <t xml:space="preserve"> - Correo solicitud de información a la Dirección de información
- Cuadro resumen de diálogos iniciales registrados en el sistema emitido por la dirección de Información.
- Relación de encuentros de asesoría, orientación, apoyo y fortalecimiento realizados por cada sede territorial.
- Listado de encuentros realizados por sede territorial.</t>
  </si>
  <si>
    <t>Bajo la coordinación y lineamiento de la Subdrección General Técnica y Territorial, los equipos territoriales adelantaron 256 diálogos  iniciales con familias y/o personas interesadas en conocer el paredero y lo acaecido con sus ser(es) querido(s) dado(s) por desaparecido(s), así como 138 acciones de asesoría, orientación, apoyo y fortalecimiento.
En este espacio, se indagó sobre las expectativas y necesidades de las víctimas en relación con la búsqueda, además de brindar información clara y precisa sobre el mandato y funciones de la UBPD a partir de su carácter humanitario extrajudicial y confidencial.</t>
  </si>
  <si>
    <t>394 encuentros de asesoría, orientación, apoyo y fortalecimiento realizadas, de acuerdo a los lineamientos de la dirección de participación</t>
  </si>
  <si>
    <t>360 encuentros de asesoría, orientación, apoyo y fortalecimiento realizadas, de acuerdo a los lineamientos de la dirección de participación</t>
  </si>
  <si>
    <t>El indicador se encuentra en incumplimiento (nivel crítico), pues solo se avanzó en un 34,2% de lo que estaba previsto para el periodo.
Teniendo en cuenta lo alta que es la meta de este indicador, es pertinente revisar si el mes de retraso podrá ser cubierto al acumular el avance previsto para el tercer y cuarto trimestre del año, o sería necesario repensar el total de encuentros y actividades de fortalecimiento que será posible realizar en todo el 2019.</t>
  </si>
  <si>
    <t>Memorandos de cumplimiento y registro de solicitudes recibidas en los espacios alcanzados.</t>
  </si>
  <si>
    <t>Bajo la coordinación y lineamiento de la Subdirección General Técnica y Territorial, los equipos territoriales adelantaron 41 diálogos iniciales con familias y/o personas interesadas en conocer el paradero y lo acaecido con sus ser(es) querido(s) dado(s) por desaparecido(s). En este espacio, se indagó sobre las expectativas y necesidades de las víctimas en relación con la búsqueda, además de brindar información clara y precisa sobre el mandato y funciones de la UBPD a partir de su carácter humanitario extrajudicial y confidencial.
En el segundo trimestre la meta no se cumplió dado que los equipos territoriales inciaron sus labores a partir del 4 de junio de 2019 y no en el mes de mayo como se tenía previsto. No obstante, se espera que para el tercer trimestre se realicen los encuentros programados más los rezagados del segundo trimestre.
La UBPD entiende por encuentros de apoyo, asesoría, orientación y fortalecmiento todas aquellas acciones que contribuyen a la búsqueda de personas dadas por desaparecidas. En este caso, los diálogos iniciales hacen parte de esas acciones como también lo hacen las acciones de fortalecimiento. Es por ello que los memorandos incluyen tanto diálogos iniciales como acciones de fortalecimiento. La suma de éstos es el resultado de los encuentros de apoyo, asesoría, orientación y fortalecimiento realizados.</t>
  </si>
  <si>
    <t>41 encuentros de asesoría, orientación, apoyo y fortalecimiento realizadas, de acuerdo a los lineamientos de la dirección de participación</t>
  </si>
  <si>
    <t>120 encuentros de asesoría, orientación, apoyo y fortalecimiento realizadas, de acuerdo a los lineamientos de la dirección de participación</t>
  </si>
  <si>
    <t>Es necesario verificar la posible duplicidad de acciones con la Dirección de Participación, Contacto con las Víctimas y Enfoques Diferenciales. Revisar también la conexión de las actividades realizadas por los equipos territoriales en torno a este indicador, con las acciones, protocolos y formatos de la DTIPLB.</t>
  </si>
  <si>
    <t>0 encuentros de asesoría, orientación, apoyo y fortalecimiento realizadas, de acuerdo a los lineamientos de la dirección de participación</t>
  </si>
  <si>
    <t>Como resultado y soporte de los encuentros pedagógicos adelantados en la región se acopiaron las respectivas actas y/o listados de asistencia.</t>
  </si>
  <si>
    <t>Se desarrollaron 111 encuentros con entidades e instituciones con el propósito de facilitar la comprensión de las funciones, características, alcances y naturaleza de la UBPD, así como su compatibilidad con otros mecanismos del SIVJRNR y demás instituciones del Estado. En este caso la meta sobrepasó lo planeado ya que los equipos territoriales de la UBPD entraron con fecha posterior al despliegue de los demás mecanismos del SIVJRNR. Sumado a lo anterior, la demanda de pedagogía en el territorio fue superior a la esperada y los equipos territoriales se vieron avocados a consolidar lazos de confianza tanto con entidades como instituciones que antes de la llegada de la UBPD se encontraban trabajando temas relacionados con desaparición.</t>
  </si>
  <si>
    <t>111 encuentros con entidades e instituciones que conocen el trabajo de la UBPD y con las que se inicia un contacto de relacionamiento en el territorio</t>
  </si>
  <si>
    <t>37 encuentros con entidades e instituciones que conocen el trabajo de la UBPD y con las que se inicia un contacto de relacionamiento en el territorio</t>
  </si>
  <si>
    <t>El cumplimiento del indicador muestra una subestimación de 500% en el periodo de reporte y 61,7% en el avance acumulado. Sin embargo, los soportes dan cuenta de reuniones con múltiples actores que no necesariamente corresponden con la definición de entidades o instituciones, sino también organismos y agencias de cooperación internacional, organismos eclesiales sin ánimo de lucro, el Partido FARC, entre otros actores. Es necesario diferenciar entonces este reporte y lo que se informa a través de los indicadores 55 y 56, a cargo de la DTPCVED, para evitar duplicidades, pues ellos reportan lo correspondiente a organizaciones de la sociedad civil.
Adicionamente, algunos de los soportes están duplicados, por lo que el número de encuentros puede ser menor al reportado.
Es pertinente tener una reunión con la SGTT y la DTPCVED, para revisar lo que está reportando cada área y determinar si se requiere incrementar la meta de este indicador o no, esto último teniendo en cuenta que, en el avance cualitativo, se informa que en el segundo semestre los equipos ya no se concentrarán tanto en la tarea que es objeto del presente indicador. La OAP brindará apoyo para analizar más a fondo las razones de la subestimación y determinar la proyección final de la meta.</t>
  </si>
  <si>
    <t>Como resultado y soporte de los encuentros institucionales adelantados en la región se acopiaron las actas y listados de asistencia.</t>
  </si>
  <si>
    <t>Se desarrollaron 50 encuentros con entidades e instituciones con el propósito de facilitar la comprensión de las funciones, caracteristicas, alcances y naturaleza de la UBPD, así como su compatibilidad con otros mecanismos del SIVJRNR y demás instituciones del Estado. En este caso la meta sobrepasó lo planeado ya que los equipos territoriales de la UBPD entraron con fecha posterior al despliegue de los demás mecanismos del SIVJRNR. Esto implicó mayor esfuerzo en adelantar distintos encuentros con entidades para presentar a la UBPD en territorio.
En este caso, durante los próximos meses, los equipos territoriales ya no estarán enfocados en dicha tarea sino en adelantar propuestas de articulación con las entidades e instituciones ya abordadas. En tal sentido, se debe tener en cuenta que aunque la planeación correspondía a una posible situación esperada, las expectativas fueron superadas. Teniendo en cuenta el resultado del segundo trimestre, la SGTT prevee que se podría incrementar la meta de los encuentros de los equipos territoriales durante la vigencia. Por lo tanto, solicitamos una reunión con la OAP para evaluar dicha solicitud a partir del 3er trimestre de 2019.</t>
  </si>
  <si>
    <t>50 encuentros con entidades e instituciones que conocen el trabajo de la UBPD y con las que se inicia un contacto de relacionamiento en el territorio</t>
  </si>
  <si>
    <t>10 encuentros con entidades e instituciones que conocen el trabajo de la UBPD y con las que se inicia un contacto de relacionamiento en el territorio</t>
  </si>
  <si>
    <t>Revisar posible duplicidad de este indicador con las mediciones y productos de la Dirección Técnica de Participación, Contacto con las Víctimas y Enfoques Diferenciales, y con la Oficina Asesora de Comunicaciones y Pedagogía. En ese sentido, para diferenciar las labores, se sugiere explicar en la descripción lo que se entiende por Encuentros, término que también usan esas áreas junto con el de diálogos. Se sugiere agregar en la fórmula lo indicado en rojo.</t>
  </si>
  <si>
    <t>0 encuentros con entidades e instituciones que conocen el trabajo de la UBPD y con las que se inicia un contacto de relacionamiento en el territorio</t>
  </si>
  <si>
    <t>Se adjuntan 10 matrices diligenciadas por las sedes territoriales.</t>
  </si>
  <si>
    <t>Para el periodo de reporte se diligenciaron las matrices para las 10 sedes territoriales donde hace presencia la UBPD.
La caracterización tiene como objetivo generar un mapeo de los posibles actores en región que puedan ser aliados clave para la búsqueda de personas dadas por desaparecidas, por lo tanto, a medida que la UBPD generó confianza con los actores a caracterizar propició espacios de conversación, reconocimiento y articulación que permitieran rescatar los aprendizajes de búsqueda en el territorio.</t>
  </si>
  <si>
    <t>10 matrices de caracterización de actores regionales clave para la búsqueda, diligenciadas</t>
  </si>
  <si>
    <t>17 matrices de caracterización de actores regionales clave debidamente diligenciada</t>
  </si>
  <si>
    <t>Aunque no hay programado avance cuantitativo para el periodo de reporte, la información cualitativa evidencia que las acciones para el cumplimiento se están desarrollando. La herramienta diseñada es un avance importante para poder lograr la meta proyectada.</t>
  </si>
  <si>
    <t>Herramienta Matriz de actores clave.</t>
  </si>
  <si>
    <t>Durante el segundo trimestre se diseñó la herramienta de recolección de información para el mapeo de los actores en territorio. Para la elaboración de dicha herramienta se realizaron espacios de conversación con la Dirección General donde se avaló la herramienta diseñada por la SGTT. Dicha herramienta fue pensada para reconocer los aprendizajes sobre la búsqueda de personas dadas por desaparecidas. Se le pregunta quién, cómo, cuando y donde ha buscado, cuáles han sido las redes de apoyo para la búsqueda y los obstáculos que se han presentado para la misma. Dicha matriz será un insumo relevante para consolidar el plan estratégico de los equipos territoriales teniendo en cuenta el enfoque territorial.</t>
  </si>
  <si>
    <t>0 matrices de caracterización de actores regionales clave para la búsqueda, diligenciadas</t>
  </si>
  <si>
    <t>1 matriz de caracterización de actores regionales clave debidamente diligenciada</t>
  </si>
  <si>
    <t>Se sugiere dejar el indicador en plural según la fórmula de cálculo y modificar consecuentemente la meta, para medir la elaboración de una matriz de caracterización de actores por cada sede territorial abierta. Para establecer la meta, se puede tomar como referente el indicador 026.</t>
  </si>
  <si>
    <t>Ruta de acceso - información reservada - del proceso de avance en la implementación de los planes regionales.</t>
  </si>
  <si>
    <t>Los planes de búsqueda con hipótesis de localización para los municipios de Bagadó, Curumaní, Carrizal y Facatativá se encuentran formulados. Estos planes contienen una descripción de las unidades de análisis, así como una fundamentación de la hipótesis de los acaecido y el paradero de las personas dadas por desaparecidas.
La implementación es parte intrínseca de la formulación y elaboración de los planes regionales y se puede verificar en las carpetas físicas y digitales que cada líder de plan regional está construyendo. Por lo tanto, la actividad de contar con un comité que aprueba los planes no se desarrollará puesto que no es pertinente. Los planes de búsqueda se formulan por los analistas en etapa de recolección y análisis de información. Estos planes empiezan a ser ejecutados y cuando se cuenta con información que permite tener mayor certeza sobre la localización, se procede a formular el plan regional de búsqueda en etapa de localización. Estos son los planes que se envía a la Dirección General para tramitar la autorización de ingreso a lugares.</t>
  </si>
  <si>
    <t>50% de los planes regionales de búsqueda presentados a la Subdirección, evaluados</t>
  </si>
  <si>
    <t>88% de los planes regionales de búsqueda presentados a la Subdirección, evaluados</t>
  </si>
  <si>
    <t>De acuerdo a las actividades planteadas con fecha de corte al periodo de reporte, a pesar de no tener avance cuantitativo programado, se ha avanzado adecuadamente en el cumplimiento del indicador.
Sin embargo, no se entregaron los soportes indicados, que están bajo resguardo de Gina Cabarcas, que evidencien la realización de los Comités indicados.</t>
  </si>
  <si>
    <t>Actas de los 5 Comités de acciones humanitarias realizados.</t>
  </si>
  <si>
    <t>Se han realizado cinco (5) Comités de acciones humanitarias en los cuales se ha revisado la implementación de los doce (12) planes regionales de búsqueda que se encuentran en etapa de recolección y análisis de información.</t>
  </si>
  <si>
    <t>0% de los planes regionales de búsqueda presentados a la Subdirección, evaluados</t>
  </si>
  <si>
    <t>Se sugiere eliminar los adjetivos, que son requisitos del accionar de la entidad. En la descripción se incluyen en rojo sugerencias de forma. Si se aceptan, incluir en las solicitudes de ajuste a la OAP.</t>
  </si>
  <si>
    <t>0% de los planes regionales de búsqueda presentados a la Subdirección, en implementación</t>
  </si>
  <si>
    <t>Presentaciones que contienen los criterios de elaboración, formulación y revisión de los planes regionales de búsqueda.
Ruta de acceso - información reservada - del proceso de avance en la implementación de los planes regionales.</t>
  </si>
  <si>
    <t>En julio de 2019 se sostuvo sesión de trabajo con la Dirección general, las tres direcciones técnicas y la oficina jurídica. En esta sesión se discutieron  los criterios para la elaboración y formulación de los planes regionales de búsqueda y las instancias de revisión y ajuste de los mismos. El documento está en construcción por parte de la Subdirección de Análisis. En eso consistieron los ejercicios metodológicos programados. En cuanto al documento, este se ha avanzado en un 20%, por lo que el reporte cuantitativo es del 80%. El documento final se elaborará en el último trimestre del año.</t>
  </si>
  <si>
    <t>80% del documento sobre criterios de evaluación y aprobación de los planes regionales de búsqueda presentado a la Dirección General de la UBPD para su aprobación</t>
  </si>
  <si>
    <t>60% del documento sobre criterios de evaluación y aprobación de los planes regionales de búsqueda presentado a la Dirección General de la UBPD para su aprobación</t>
  </si>
  <si>
    <t>No se envió reporte cualitativo ni soportes de este indicador, cuya meta para el periodo está establecida en el 40% del total. Esto resulta incoherente con respecto a la información del indicador 30, que da cuenta de avances efectivos en la formulación e implementación de los planes regionales de búsqueda, para lo cual se da por entendido que se ha contado con lineamientos y revisión periódica de la SGTT.
En este caso no es solo el avance lo que se encuentra en incumplimiento (nivel crítico), sino que la formulación general del indicador y las actividades que lo componen, deben ser revisadas. Así mismo, es necesario evaluar con la SGTT las razones del incumplimiento y de la falta de reporte.</t>
  </si>
  <si>
    <t>NO ENVIARON REPORTE</t>
  </si>
  <si>
    <t>0 documentos sobre criterios de evaluación y aprobación de los planes regionales de búsqueda presentado a la Dirección General de la UBPD para su aprobación</t>
  </si>
  <si>
    <t>1 documento sobre criterios de evaluación y aprobación de los planes regionales de búsqueda presentado a la Dirección General de la UBPD para su aprobación</t>
  </si>
  <si>
    <t>Es necesario identificar componentes o hitos que permitan saber qué se espera de este producto. El hito señalado (además de no serlo porque es uno solo), se refiere al Plan Nacional de Búsqueda.
Se recalca importancia de incluir avances cualitativos para facilitar el seguimiento al avance en dirección a posteriores reportes cuantitativos.</t>
  </si>
  <si>
    <t>1 documento de lineamientos para construcción de plan nacional de búsqueda presentado a la Dirección General de la UBPD</t>
  </si>
  <si>
    <t>De acuerdo al avance cualitativo y los soportes remitidos, el indicador se encuentra en cumplimiento (nivel óptimo). Dado que para este periodo se concentra el cumplimiento total del indicador, se sugiere verificar que estas son las versiones finales del documento o establecer si, a lo largo del segundo semestre, se complementarán o modificarán los soportes o componentes del documento. En particular, es necesario verificar si los antecedentes del PNB y caracterización de la desaparición en el marco del conflicto armado están plenamente terminadas.</t>
  </si>
  <si>
    <t>1. Plan de trabajo y cronograma V1
2. Plan de trabajo específico para sistematización de diálogos sobre PNB
3. Plan de trabajo específico para sistematización de diálogos sobre PNB
4. Cronograma V2 y 3. Metodología para la realización de los diálogos participativos
5. Convenio UBPD_USAID-OIM Plan Nacional de Búsqueda
4. Documento de avance en la sistematización de los diálogos sobre el PNB</t>
  </si>
  <si>
    <t>Para el periodo de reporte se remitió a la Dirección General la ruta metodológica con los siguientes componentes:
Metodología para la realización de los diálogos participativos de la cual hacen parte los siguientes componentes: cronograma y plan de trabajo, actores que participarán en los diálogos y sitios de realización de los diálogos. La implementación de esta metodología se realizará a través del convenio USAID-UBPD suscrito para tal fin.
Así mismo, se cuenta con la propuesta metodológica para la sistematización de los diálogos participativos.</t>
  </si>
  <si>
    <t>Según descripción y método de medición, se sugiere esta redacción para fórmula de cálculo: "Sumatoria de los componentes del documento de lineamientos para elaborar el Plan Nacional de Búsqueda". Sería pertinente revisar dichos componentes y diferenciar de lo que son soportes. Debería incluirse toda la cadena de formulación, con lo resaltado en rojo. Si se considera pertinente, solicitar ajuste con orientación de la OAP.
Se requiere indicar avance cualitativo para seguimiento a posteriores reportes cuantitativos.</t>
  </si>
  <si>
    <t>0 documento de lineamientos para construcción de plan nacional de búsqueda presentado a la Dirección General de la UBPD</t>
  </si>
  <si>
    <t>Como evidencia se adjunta:
1. Invitaciones a las sesiones de trabajo vía meet con las sedes territoriales
2. Avance en la sistematización de insumos entregados por las sedes territoriales para las sesiones de trabajo.</t>
  </si>
  <si>
    <t>La Subdirección General Técnica y Territorial ha realizado un proceso participativo para la construcción del enfoque territorial. Durante este proceso se definieron 5 lineamientos junto con los coordinadores territoriales, enlaces territoriales y la Dirección General de la UBPD, información sistematizada en el adjunto (Sistematización de la construcción del Enfoque Territorial de la UBPD).  Adicional a esto, en la carpeta denominada Insumos para sesione Meet en las carpetas 15 de julio y 14 de agosto se encuentran los aportes de los equipos territoriales fundamentales para la construcción del enfoque territorial.</t>
  </si>
  <si>
    <t>14% de los lineamientos del enfoque territorial de la UBPD construidos</t>
  </si>
  <si>
    <t>El indicador se encuentra en cumplimiento (nivel óptimo), pues se alcanzó o desarrolló el hito proyectado para el periodo de reporte, que se estableció como "Definir los componentes mínimos del enfoque territorial de la UBPD". De ello da cuenta el documento con esos componentes mínimos y los soportes de su desarrollo.</t>
  </si>
  <si>
    <t>Documento con los componentes mínimos del enfoque territorial de la UBPD; Invitación a la reunión Actas de reunión entre la Dirección General, enlaces territoriales y coordinadores territoriales.</t>
  </si>
  <si>
    <t>Durante el segundo trimestre se definieron los componentes mínimos del enfoque territorial de la UBPD. Dicho ejercicio fue realizado junto con los coordinadores territoriales, los enlaces territoriales de la SGTT y la Directora General. Como componentes mínimos para el enfoque territorial se establecieron:
1) relacionamiento con actores;
2) construcción de identidad y sentido de la desaparición;
3) actores, desde la perspectiva de sus conocimientos, experiencias y necesidades;
4) perspectiva dinámica del enfoque territorial; y
5) Dinámicas pasadas y actuales del conflicto.</t>
  </si>
  <si>
    <t>Se sugiere revisar si se reformula para que tenga un carácter más estratégico y no se concentre únicamente en la construcción de un documento. Por ejemplo, puede enfocarse la redacción del indicador en la construcción de lineamientos, lo cual incluiría también el documento de enfoque territorial.</t>
  </si>
  <si>
    <t>0% de los lineamientos del enfoque territorial de la UBPD construidos</t>
  </si>
  <si>
    <t>1. Contrato de arrendamiento sede territorial Cúcuta, y link de publicación en SECOP
2. Los soportes de nombramientos de personal reposan en la Subdirección de Talento Humano</t>
  </si>
  <si>
    <t>Para el periodo de reporte se cuenta con una (1) sede propia en funcionamiento de las 10 con apertura transitoria, ubicada en la regional Cúcuta. Así mismo, fueron vinculados a la planta de personal de la UBPD: un (1) experto técnico grado 4 (Regional Puerto Asís), un (1) análista técnico grado 1 (Regional Puerto Asís), un (1) experto técnico grado 4 (Regional Cúcuta) y un (1) experto técnico grado 4 (Regional San José del Guaviare).
En razón de los resultados expuestos la SGTT aclara que para el tercer trimestre de 2019, se tenía prevista la apertura de las 10 sedes transitorias en instalaciones propias, así como la vinculación de las personas para la entrada en funcionamiento de estas sedes territoriales. Sin embargo, este proceso se llevará a cabo a partir del cuatro trimestre teniendo en cuenta los cronogramas de adecuación y entrega de las sedes propias suministrado por la Subdirección Administrativa y Financiera. 
Así mismo, para el cuatro trimestre se tiene previsto el proceso de vinculación del talento humano programado inicialmente y la apertura de las sedes restantes.</t>
  </si>
  <si>
    <t>3% de los equipos territoriales de la UBPD en funcionamiento</t>
  </si>
  <si>
    <t>35% de los equipos territoriales de la UBPD en funcionamiento</t>
  </si>
  <si>
    <t>El indicador se encuentra en cumplimiento (nivel óptimo). En el informe cualitativo se indica por qué la diferencia de 1% con respecto a lo proyectado, la cual puede evidenciarse de manera más clara tras haber ponderado por aparte los dos componentes del indicador (sedes y personas vinculadas a los equipos territoriales), llegando así a un seguimiento más adecuado del cumplimiento de la meta.
NOTA: Tenga presente que este indicador se encuentra asociado al Proyecto de Inversión BPIN 2018011000898 específicamente en el producto Sedes adecuadas. Por lo tanto, la información reportada en el Plan de Acción debe corresponder con el avance obtenido en este indicador y reportado mensualmente durante el seguimiento a proyectos de inversión en el SPI.</t>
  </si>
  <si>
    <t>Actas de posesión; Contratos de prestación de servicios firmados; Metodología (Diseño taller de inducción); Listados de asistencia y/o actas de jornadas de trabajo entre los enlaces y equipos territoriales.</t>
  </si>
  <si>
    <t>Se vincularon 36 profesionales que conformaron los 10 equipos territoriales que componen el despliegue territorial propuesto. Vale la pena resaltar que a la fecha se adelantan procesos de vinculación para dos profesionales y proceso de entrevistas para dos profesionales más.
Para el segundo trimestre de 2019 se dio apertura a 10 sedes territoriales en las ciudades de: Barranquilla, Barrancabermeja, Puerto Asís, Cali, Villavicencio, San José del Guaviare, Cúcuta, Rionegro, Apartadó y Sincelejo. Así las cosas, con el fin de garantizar el funcionamiento en dichas oficinas se estableció convenio con la CEV y Pastoral social, donde se ubican temporalmente los equipos territoriales.
En el marco del proceso de alistamiento para el inicio de actividades de los equipos territoriales, se formuló la metodología para el desarrollo del taller de inducción de los días 21 al 24 de mayo del 2019. El mismo tuvo como objetivo principal aportar elementos para el reconocimiento del carácter humanitario, extrajudicial, de enfoque diferencial y territorial de la UBPD, además del rol de los equipos territoriales al interior de la entidad en el proceso de búsqueda.</t>
  </si>
  <si>
    <t>32% de los equipos territoriales de la UBPD en funcionamiento</t>
  </si>
  <si>
    <t>33% de los equipos territoriales de la UBPD en funcionamiento</t>
  </si>
  <si>
    <t>No aplica, debido a que la meta en el periodo de reporte prevista es cero. Sin embargo, valoramos el avance cualitativo informado toda vez que brinda elementos para entender avances previos al reporte a partir del segundo trimestre del año.
Se sugiere evaluar si los indicadores 25 y 26 se unen para construir uno más robusto, porque tienen más el carácter de indicadores de gestión.</t>
  </si>
  <si>
    <t>1. Lista asistencia_entrevistas contratistas direcciones misionales</t>
  </si>
  <si>
    <t>Desde el mes de marzo la SGTT está realizando el proceso de selección de los equipos territorial. El resultado del avance será registrado durante el segundo trimestre de 2019</t>
  </si>
  <si>
    <t>0% de los equipos territoriales de la UBPD en funcionamiento</t>
  </si>
  <si>
    <t>1. Acta de reunión y listas de asistencia reunión equipo administrativo nivel central y nivel territorial para seguimiento de criterios para sedes territoriales definitivas y gestión de correspondencia 09 de julio de 2019.
2. Agenda de reunión con coordinadores de equipos territoriales del 17 al 19 de septiembre 2019
3. Listas de asistencia mesas de trabajo con coordinadores de equipos territoriales del 17 al 19 de septiembre
4. Propuesta de herramienta para seguimiento de metas vigencia 2020.
5. Herramienta de seguimiento presupuestal y contractual SGTT_2019
6. proyeccion financiera y fechas entrega Sedes Territoriales
7. Cuadro de seguimiento a comisiones
8. Matriz de seguimiento operador logístico
9. Programación de comisiones octubre y monetización
10. Acta de reunión equipo administrativo nivel central 12_08_2019
11. asistencia reunión administrativa de sedes definitivas y correspondencia 09_07_2019</t>
  </si>
  <si>
    <t>Para el tercer trimestre se reporta el siguiente avance en la vinculación de los siguientes cargos a la planta de la SGTT: Una (1) Subdirectora General Técnica y Territorial, Un (1) Experto Técnico Grado 5 para adelantar las actividades de seguimiento a la gestión, coordinación y evaluación de la gestión.
Por otra parte, se relacionan las distintas mesas de trabajo que se han adelantando con el objetivo de realizar el seguimiento a la operación misional, entre las siguientes:
1. Reunión de equipo administrativo nivel central y nivel territorial para seguimiento de criterios para sedes territoriales definitivas y gestión de correspondencia 09 de julio de 2019.
2. Una mesa de trabajo de equipo administrativo y Subdirectora el 12 de agosto de 2019.
3. Una mesa de trabajo con los enlaces de planeación de las Direcciones Misionales para establecer mecanismos de seguimiento a la gestión administrativa y misional el 13 de septiembre de 2019
4. Mesa de trabajo coordinadores territoriales y la SGTT del 17 al 20 de septiembre 2019
5. Mesa de trabajo con enlaces de planeación para la implementación de herramientas de seguimiento a las actividades misionales de la SGTT
Así mismo, se han implementado las siguientes herramientas para el seguimiento a la gestión misional:
1. Cuadro de seguimiento a comisiones.
2. Matriz de seguimiento a eventos con operador logístico.
3. Programación y monetizacion de comisiones.</t>
  </si>
  <si>
    <t>39% de avance en el diseño e implementación de los mecanismos de planeación y seguimiento a la operación misional de las áreas a cargo de la subdirección técnica y territorial</t>
  </si>
  <si>
    <t>11% de avance en el diseño e implementación de los mecanismos de planeación y seguimiento a la operación misional de las áreas a cargo de la subdirección técnica y territorial</t>
  </si>
  <si>
    <t>* El indicador se encuentra en incumplimiento (nivel crítico).
* Como se había indicado en la retroalimentación de la OAP al reporte del primer trimestre, la sugerencia es eliminarlo, pues se concentra en asuntos de gestión que no agregan valor al Plan de acción institucional. En todo caso, si se mantiene, se sugiere revisar si todos los hitos construidos siguen siendo necesarios, en particular porque no es clara la pertinencia de crear una nueva instancia ("mesa técnica de seguimiento administrativo" establecida como tercer hito y en incumplimiento), para hacer seguimiento interno a la gestión de la SGTT.
* Con respecto al hito 2, los instrumentos de seguimiento a la gestión, tal como se ha manifestado a la SGTT en algunos espacios, es fundamental tener en cuenta la alerta con respecto a que las herramientas que se hagan desde la SGTT deben estar alineadas con los que actualmente ya tienen como parte de sus funciones la Secretaría General, a través de la Subdirección Administrativa y Financiera y Subdirección de de Gestión Humana, así como la Oficina Asesora de Planeación, de manera que no se originen duplicidades que no agregan valor a la gestión, pero sí generan cargas adicionales para las áreas. En ese mismo sentido, se entiende que el indicador puede concentrarse más en las herramientas más relacionadas con el seguimiento y apoyo a los asuntos misionales de la SGTT, y no tanto en el seguimiento a la gestión y presupuestos que ya se hacen desde las Oficinas correspondientes.</t>
  </si>
  <si>
    <t>Personal vinculado (planta Subdirección y contratistas de apoyo a la gestión de los misionales):
1. Los soportes de nombramiento de personal de planta reposan en la Subdirección de Gestión Humana.
2. Los soportes del personal contratado por OPS, reposan en la Oficina de contratos (contratos 008, 009, 010, 011, 012, 013, 014 y 024 de 2019).
3. Seguimiento presupuestal y contractual general SGTT.
4. Propuesta de seguimiento SPI_DIPLOB.
5. Seguimiento presupuestal y contratual_DIPLOB.
Las propuestas de instrumentos de seguimiento a la gestión de las Direcciones Misionales reposan en la carpeta drive con ruta: https://drive.google.com/drive/folders/1cDEQezEfuD0bhne7SOIVEvwZLdwGGqhE</t>
  </si>
  <si>
    <t>Para el segundo trimestre se reporta avance en la vinculación de los siguientes cargos de planta a la SGTT: una (1) Experta Técnica grado 5, un (1) Experto Técnico grado 3, dos (2) Técnicas de unidad especial grado 1 y una (1) Análista Técnica grado 1.
Desde la SGTT se han desarrollado herramientas para el seguimiento presupuestal a los recursos del proyecto de inversión y el seguimiento al despliegue logístico territorial.
En el mismo sentido, se vincularon a partir de los meses de abril y mayo ocho (8) profesionales para el apoyo de las actividades misionales de las dependencias a cargo de la SGTT, en desarrollo de sus obligaciones contractuales estos profesionales avanzan en la implementación de instrumentos de seguimiento a la gestión en temas como: seguimiento presupuestal y contractual, propuesta de formato para el reporte del SPI por parte de la DIPLOB.
Finalmente, no se reporta avance cuantitativo en los hitos 3 y 4, dado que no se han unificado las herramientas de seguimiento a la gestión para proceder a su implementación general, ni se ha creado la mesa técnica de seguimiento administrativo.</t>
  </si>
  <si>
    <t>35% de avance en el diseño e implementación de los mecanismos de planeación y seguimiento a la operación misional de las áreas a cargo de la subdirección técnica y territorial</t>
  </si>
  <si>
    <t>63% de avance en el diseño e implementación de los mecanismos de planeación y seguimiento a la operación misional de las áreas a cargo de la subdirección técnica y territorial</t>
  </si>
  <si>
    <t>Aunque el indicador se encuentra en cumplimiento (nivel óptimo) de acuerdo con los hitos planteados y el porcentaje proyectado, teniendo en cuenta que todavía falta una persona de planta por ser contratada, se sugiere revisar si el avance debería ser el 100% de lo proyectado en el periodo, es decir, el 15% indicado.
La OAP sugiere revisar pertinencia del indicador, por ser más de gestión. Revisar comentarios a indicador 026.</t>
  </si>
  <si>
    <t>Durante el primer trimestre, la Subdirección General Técnica y Territorial contrató a 8 profesionales para apoyar las tareas administrativas de las Direcciones Misionales. Las personas fueron contratadas a partir de abril hasta diciembre de 2019. Así mismo adelantó entrevistas para los cargos de Experto Técnico 5, Experto Técnico 3, Analista Técnico 1 y Analista Técnico Unidad Especial 1. Del proceso se seleccionaron los cargos de Experto Técnico 3, Analista Técnico 1 y Analista Técnico Unidad Especial 1. 
En cuanto al diseño de los instrumentos para el seguimiento a la gestión, conformación de la mesa técnica e implementación de los instrumentos, están a cargo de la Subdirector(a) General Técnica y Territorial que por el momento no ha sido nombrada por la entidad. Esta actividad no ha sido delegada por parte de la Dirección General. Por lo tanto no se cuenta con la información suficiente para medirlo</t>
  </si>
  <si>
    <t>15% de avance en el diseño e implementación de los mecanismos de planeación y seguimiento a la operación misional de las áreas a cargo de la subdirección técnica y territorial</t>
  </si>
  <si>
    <t>Protocolo CEV y UBPD Versión_Borrador</t>
  </si>
  <si>
    <t>El borrador fue elaborado con base en varias consultas entre las 2 entidades. Actualmente se encuentra en el despacho de la Directora General de la UBPD para su consideración y aprobación. Una vez concluido esto, se entrara en una fase de discusión del texto con la CEV para su adopción por las 2 entidades.</t>
  </si>
  <si>
    <t>20% de protocolo de información construido</t>
  </si>
  <si>
    <t>40% de protocolo de información construido</t>
  </si>
  <si>
    <t>El indicador se encuentra en cumplimiento (nivel óptimo), considerándose lo indicado en el reporte como una victoria temprana, teniendo en cuenta que no se tenía proyectado un avance cuantitativo para el presente periodo. Así mismo, la información cualitativa es muy clara y valiosa para entender el avance correspondiente.</t>
  </si>
  <si>
    <r>
      <t xml:space="preserve">Se adjuntan los siguientes soportes:
1. Documento sobre el marco legal de la articulación del SIVJRNR (Anexo 1)
2. Marco legal que rige el acceso y la transmisión de la información de la UBPD (Anexo 2)
3. Documento de consideraciones sobre la relación de la CEV con la UBPD (Anexo 3)
Ruta de consulta: </t>
    </r>
    <r>
      <rPr>
        <u/>
        <sz val="9"/>
        <rFont val="Arial Narrow"/>
        <family val="2"/>
      </rPr>
      <t>https://drive.google.com/drive/folders/1UA28g9PHL_Pq5BcupxorWaFncyMHXfD-</t>
    </r>
  </si>
  <si>
    <t>Durante el 2do. trimestre de 2019, se realizaron 4 reuniones entre la UBPD y la CEV sobre el intercambio de información, con el propósito de identificar las necesidades de cada una de las entidades, los tipos de información que recauda y produce cada entidad, las modalidades propias de tratamiento de la información de cada entidad, el marco legal (Decretos Ley 588 y 589 de 2017), las características y modalidades de intercambio y transmisión de información. Estas reuniones estuvieron orientadas a acordar las bases y elementos esenciales para la elaboración de un protocolo de intercambio de información entre la CEV y la UBPD, en desarrollo del artículo 5 del Decreto Ley 589 de 2017.
A esos efectos, tanto la CEV como la UBPD designaron personas de enlace: Camilo Bernal (inicialmente) y Dora Lancheros (posteriormente) por la CEV; y Federico Andreu, por la UBPD. 
Las necesidades identificadas fueron: 
• Transmisión de la UBPD de los reportes oficiales sobre lo acontecido del artículo 5 del Decreto Ley 589 de 2017).
• Intercambio de información y documentos estatales (inclusive bajo reserva legal) recaudados por cada entidad.
• Transmisión a la UBDP de las declaraciones de víctimas, familiares, comparecientes y otros recaudados por la CEV.
• Transmisión de análisis y documentos de la UBPD sobre la desaparición forzada (territorios, patrones, modalidades, tipologías, y evolución).
En el curso de ese periodo, la CEV y la UBDP intercambiaron documentos de referencia. Por parte de la UBPD se elaboró y entregó a la CEV un documento sobre el marco legal de la articulación del SIVJRNR (Anexo 1) y otro sobre el marco legal que rige el acceso y la transmisión de la información de la UBPD (Anexo 2). Por su parte la CEV elaboró y entrego a la UBPD un documento de consideraciones sobre la relación de la CEV con la UBPD (Anexo 3).
Actualmente, la UBPD está elaborando un proyecto de Protocolo de intercambio de información entre la UBDP y la CEV.</t>
  </si>
  <si>
    <t>0% de protocolo de información construido</t>
  </si>
  <si>
    <t>La Oficina Asesora de Planeación propone unir los indicadores 023 y 024, y dejar a la CEV como uno de los actores con los que se establece relacionamiento desde la SGTT.
El avance cuantitativo se prevé desde el segundo semestre (no trimestre). Para el siguiente corte se solicita avance cualitativo que contextualice posterior reporte cuantitativo.</t>
  </si>
  <si>
    <t>Actas de reunión realizadas entre la UBPD y el INMLCF.
Documentos de requisitos remitidos por la RNEC:
   1. Manual de politicas de seguridad.
   2. Modelo estudio de necesidad.</t>
  </si>
  <si>
    <t>Teniendo en cuenta lo estipulado por el Decreto Ley 589 en cuanto a la relación de la UBPD-INMLCF, se avanza en la elaboración del protocolo de relacionamiento entre las dos Instituciones, los primeros aspectos a tratar de este Protocolo son:
a. Desarrollo de un procedimiento estandarizado de trabajo por parte del INMLCF para el recibimiento de los cadáveres y los elementos relacionados a estos, recuperados por la UBPD, en un marco extrajudicial. 
b. Intercambio de información, especialmente en lo relacionado a las bases de datos administradas por el INMLYCF: Registro Nacional de Desaparecidos, SIFMELCO, Banco de perfiles genéticos. Incluye desarrollo del capítulo de la UBPD en SIRDEC. 
c. Intercambio de conocimiento: Experiencias del trabajo en la búsqueda de desaparecidos, formación académica, entre otros. 
d. Cooperación por parte de la UBPD en el desarrollo de proyectos con fines de impulsar la identificación humana en el país, en temas como:                                                            
     1. Revisión del diagnóstico del estado del proceso de identificación de los cadáveres no identificados -CNI- en el país, con extensión a las ocho sedes regionales del INMLCF.
     2. Análisis genético de muestras de CNI. 
     3. Revisión de las coincidencias halladas por los cruces realizados en el Banco de Perfiles Genéticos.
Desde enero de 2019 se empezó el relacionamiento con la Registraduría. Se sostuvo una reunión en la cual esa entidad manifestó interés en suscribir un convenio para el acceso remoto a las bases de datos de identificación. Para suscribir este Convenio, pidió una serie de requisitos en términos de seguridad digital y seguridad de la información. La UBPD podrá cumplir con los requisitos en el 2020. En el 2019 también se ha solicitado información específica a la Registraduría, y esta información ha sido recibida. Los soportes de las comunicaciones enviadas a Registraduría se encuentran en el archivo de la Dirección de Información. En todo caso, estas acciones dan cuenta del relacionamiento activo con esta entidad en la actual vigencia.</t>
  </si>
  <si>
    <t>2 entidad con relacionamiento activo con la UBPD</t>
  </si>
  <si>
    <t>El indicador se encuentra en cumplimiento (nivel óptimo), de acuerdo a la programación de la meta. Se adjuntan los soportes que dan cuenta del avance obtenido. La información cualitativa explica, además, lo que se ha podido avanzar gracias a los dos convenios logrados a la fecha (con la CEV y con la FGN), más allá del informe numérico.</t>
  </si>
  <si>
    <r>
      <t xml:space="preserve">Convenios interadministrativos suscritos y anexo técnico UBPD-FGN que reposan en la carpeta compartida (drive) con ruta </t>
    </r>
    <r>
      <rPr>
        <u/>
        <sz val="9"/>
        <rFont val="Arial Narrow"/>
        <family val="2"/>
      </rPr>
      <t>https://drive.google.com/drive/folders/1gtr70Syi9IkWydIYwBwv5evSZiqa2Sdw</t>
    </r>
  </si>
  <si>
    <t>Durante el periodo de reporte se avanzó en la suscripción de un (1) convenio interadministrativo de cooperación con la Fiscalía General de la Nación cuyo avance se refleja en la realización de un anexo técnico donde se establece el procedimiento de diligencia de acceso a procesos, para realizar la recolección de información para la búsqueda. Por otra parte, el convenio con la CEV permitió la puesta en marcha de las sedes territoriales en los municipios de San José del Guaviare, Cúcuta, Apartadó, Villavicencio y Barrancabermeja. En tal sentido, han superado dificultades de carácter logístico, técnico y administrativo logrando a la fecha la consolidación de las sedes territoriales según lo programado por la SGTT.</t>
  </si>
  <si>
    <t>1 entidad con relacionamiento activo con la UBPD</t>
  </si>
  <si>
    <t>Para determinar si el avance cuantitativo reportado (no previsto para el periodo) es una victoria temprana, hay que determinar qué hitos o etapas de relacionamiento son los más adecuados para reporte cuantitativo, pues el convenio con la CEV no se firmó en el periodo de reporte sino el 5 de abril.
Además, se sugiere: i) subir la meta anual, ya que la CEV no estaba en la proyección; ii) no mencionar organizaciones sociales en avance cualitativo, sino únicamente entidades, según la descripción del indicador.
En todo caso, evaluar a la luz de la retroalimentación al indicador 024.</t>
  </si>
  <si>
    <t>1. ACTA REUNIÓN CEV y UBPD - 2019-02-18
2. Convenio UBPD_CEV</t>
  </si>
  <si>
    <t>Durante el primer trimestre la SGTT adelantó reuniones y consolidó documentos con la Comisión de Esclarecimiento para la Verdad (CEV) y Pastoral Social. Con la CEV se firmó un convenio para el apoyo en el despliegue territorial de la UBPD. En el caso de Pastoral Social, se adelantó la redacción de una carta de entendimiento que será compartida con Pastoral Social una vez sea avalada por la Oficina Jurídica de la UBPD. Así mismo, la Dirección General ha adelantado reuniones con la CEV para establecer una posible ruta de trabajo entre ambas entidades para temas relacionados con recolección de información</t>
  </si>
  <si>
    <t>Se adjunta oficio de la ANDJE No.0193010172471-SA, de fecha 23 de agosto de 2019 a través del cual se imparte aprobación metodológica a las políticas de prevención del daño antijurídico de la UBPD. En el mismo archivo se encuentra el documento "Políticas de prevención del daño antijurídico de la UBPD" que fue aprobado.</t>
  </si>
  <si>
    <t xml:space="preserve">En sesión del 31 de julio de 2019 del Comité de Conciliación, fueron estudiadas  y aprobadas las políticas de prevención del daño antijurídico de la UBPD.  Con el propósito de ser remitidas a la ANDJE se realizaron los ajustes sugeridos por los integrantes del Comité, los cuales se encuentran documentados en el Acta No. 3. El 14 de agosto fue remitido a la ANDJE el documento de políticas de prevención del daño antijurídico.  La ANDJE  a través de Oficio 20193010172471-SA,  de fecha 23 de agosto de 2019,  comunicó a la UBPD la aprobación metodológica de las citada política.  </t>
  </si>
  <si>
    <t>20% de avance en la elaboración del documento de la política de prevención del daño antijurídico realizado</t>
  </si>
  <si>
    <t>22.07.2019. El indicador se encuentra en cumplimiento (nivel óptimo). Sin embargo, es pertinente ampliar la descripción cualitativa, de manera que se pueda conocer el desarrollo de las actividades que condujeron a la construcción del documento indicado como soporte. Es necesario tener como referencia mínima, las actividades indicadas en el Plan de Acción (no solo los hitos), así como otras que haya sido necesario realizar y que se consideren relevantes en el proceso de construcción del documento, incluyendo posibles obstáculos enfrentados o identificados hacia el futuro.</t>
  </si>
  <si>
    <t>Documento políticas de prevención del daño antijurídico.</t>
  </si>
  <si>
    <t>El documento políticas de prevención del daño antijurídico con corte a mayo 30 de 2019 se construyó cumpliendo el hito establecido.</t>
  </si>
  <si>
    <t>40% Porcentaje de avance en la elaboración del documento de la política de prevención del daño antijurídico realizado</t>
  </si>
  <si>
    <t>El indicador se encuentra en cumplimiento (nivel óptimo), de acuerdo al porcentaje de avance proyectado para el periodo de reporte.
Si este indicador aplicará en la siguiente vigencia, se sugiere revisar los contenidos de cada hito planteado para la medición, de manera que el 40% correspondiente al primer trimestre tenga acciones más específicas que reportar.</t>
  </si>
  <si>
    <t>1. Orden del día del Comité de Conciliación del 3 de abril de 2019.
2. Actas de reunión con las áreas.
3. Presentación de riesgos para la formulación de las políticas de prevención del daño antijurídico.</t>
  </si>
  <si>
    <t>1. La Oficina Asesora Jurídica, efectuó un estudio de los riesgos que pueden generar litigiosidad, determinando que frente a las funciones de la entidad se pueden configurar 9 posibles riesgos que eventualmente darían origen a acciones judiciales. 
2. Estos riesgos fueron socializados con las áreas administrativas y misionales. Se les solicitó que priorizaran los que consideraran tenían una mayor probabilidad de configurarse dentro de su proceso o en su defecto indicaran otros que pudieran ocasionarse.
3. Posteriormente se realizó reunión con todas las áreas de la entidad, en la cual cada una de ellas indicó el o los riesgos priorizados.
4. Una vez conformado el Comité de Conciliación, en sesión del 3 de abril de 2019, de los 7 riesgos en los cuales coincidieron las áreas, se determinó que se priorizarían 3 de ellos (contrato realidad, confidencialidad de la información, falta de medidas de seguridad para los servidores de la UBPD y las familias de las Víctimas). Se asignaron responsables para la formulación del respectivo plan de acción de cada uno.
5. Se remitió a las áreas responsables las matrices que deben ser diligenciadas a efectos de formular el plan de acción y los indicadores del riesgo respectivo para posteriormente construir el documento de política de prevención del daño antijurídico.</t>
  </si>
  <si>
    <t>política de prevención del daño antijurídico elaborada</t>
  </si>
  <si>
    <t>1. La Jefe de la Oficina de Control Interno envío mediante correo electrónico del 28 de junio de 2019, memorando de encargo para la asignación de auditora a la Política de Cuidado a las auditoras Gina Dueñas y Yamile Aya.
2. Memorando N. 02072019-220-03-723 del 02 de julio de 2019, se informa a la Subdirección de Gestión Humana, el inicio de la auditoría de Política de Cuidado.
3. Mediante correo electrónico se realiza la solicitud de información y documentos soportes de la auditoria de Política de Cuidado.
4. Entrega del informe preliminar mediante el memorando N. 220-3-201901299 de fecha 05 de septiembre de 2019, a la Subdirección de Gestión Humana.
5. Mediante el memorando N.130-3-201901462 del 17 de septiembre de 2019, La Subdirección de Gestión Humana remitió las observaciones del informe preliminar.
6. Memorando N.220-3-201901578 de fecha 30/09/2019, cierre de la auditoría y entrega del informe final Auditoría Política de Cuidado.
7. Listado de asistencia de la entrega del informe final de auditoria del 01 de octubre de 2019.
8. La Jefe de la Oficina de Control Interno envío mediante correo electrónico  del 16 de agosto de 2019, memorando de encargo para la asignación del proceso de la Auditoria de Gestión contractual a las auditoras Natalia Ballen y Gina Dueñas.
9. Memorando N.200-220-03-201901123 del 20 de agosto de 2019, donde se informa el inicio de la auditoría al proceso de Gestión Contractual.
10. Mediante correo electrónico de fecha 26 de agosto de 2019, se realiza la solicitud de información y documentos soportes de la auditoria del proceso de Gestión contratación.</t>
  </si>
  <si>
    <t>En cumplimiento al programa Anual de auditorías y seguimientos vigencia 2019, la Oficina de Control Interno realizó (2) auditorías, conforme al III trimestre de 2019, las cuales son las siguientes:
1. Auditoría de Política de Cuidado Institucional, se dio inicio a la auditoría  el día 2 de julio de 2019, con la Subdirección de Gestión Humana, en el desarrollo se solicitaron las evidencias y soportes documentales, para lo cual, la OCI ya emitió el informe preliminar y el informe final de la auditoría.
2. Auditoría al proceso de Gestión Contractual, se dio inicio a la auditoría el día 2 de julio de 2019, con la Secretaría General, actualmente la Oficina de Control Interno se encuentra en la revisión de los contratos, SECOP, entrevistas, elaboración del informe preliminar y la fecha del cierre de la auditoría se tiene programada para el día 31 de octubre de 2019.</t>
  </si>
  <si>
    <t>1 Auditoría de control interno realizada</t>
  </si>
  <si>
    <t>2 Auditorías de control interno realizadas</t>
  </si>
  <si>
    <t xml:space="preserve"> 100% de la implementación del Plan anual de auditorías</t>
  </si>
  <si>
    <t>La lectura trimestral sigue considerándose óptima, teniendo en cuenta que no se programó avance cuantitativo para el presente periodo de reporte. Sin embargo, como se indicó en la solicitud del presente informe, es importante que, incluso en los casos en los que no se prevé ese tipo de avance numérico, se incluya información narrativa que ayude a entender cómo se proyectan las acciones que conducirán a los futuros avances cuantitativos.</t>
  </si>
  <si>
    <t>Para el segundo trimestre no se programó auditoría.</t>
  </si>
  <si>
    <t>0 Auditorías de control interno realizadas</t>
  </si>
  <si>
    <t>El indicador se encuentra en cumplimiento (nivel óptimo) de acuerdo con los avances planteados, con base al método de medicición establecido y al porcentaje proyectado. Los soportes guardan coherencia con lo reportado.</t>
  </si>
  <si>
    <t>1. El informe final de la Auditoría Interna del proceso de Vinculación de Personal de la UBPD, reposa en el archivo de la Oficina de Control Interno
2. Presentación al Comité Institucional de Coordinación de Control Interno consta en el Acta 01 de 2019.</t>
  </si>
  <si>
    <t>La Oficina de Control Interno realizó la Auditoría Interna al proceso de Vinculación de Personal de la UBPD, en el mes de enero de 2019 y emitió el informe final de la auditoría. El informe final fue presentado en el Comité Institucional de Coordinación de Control Interno No. 1, realizado el 19 de febrero de 2019.</t>
  </si>
  <si>
    <t>Seguimiento, evaluación y control a la gestión</t>
  </si>
  <si>
    <t>1. Informe Pormenorizado del Sistema de Control Interno vigencia 2019, el cual se encuentra publicado en la página web de la UBPD en el siguiente link: https://www.ubpdbusquedadesaparecidos.co/wp-content/uploads/2019/08/Informe-Pormenorizado-del-Sistema-de-Control-Interno-1-Abril-al-31-de-Julio-de-2019.pdf y se entrega también como anexo con el presente reporte.
2. Memorando de envío del informe.</t>
  </si>
  <si>
    <t>La Oficina de Control Interno realizó seguimiento al Estado del Sistema de Control Interno de acuerdo  a la matriz de autodiagnóstico de gestión de Política de Control Interno con fecha de corte 01 de abril al 31 de julio de 2019, este informe fue presentado al Representante Legal y a los miembros del Comité Institucional de Coordinación de Control Interno  mediante el memorando N. 100-3-201901258 de fecha 02 de septiembre de 2019. Con base en este informe, los líderes de proceso formularán un plan de acción que les permita subsanar las brechas encontradas en el diagnóstico y diseñar e implementar el Sistema de Control Interno de la UBPD.</t>
  </si>
  <si>
    <t>1 Informe del sistema de control interno realizado</t>
  </si>
  <si>
    <t xml:space="preserve">Se realizó la acción que estaba proyectada y se enviaron los soportes correspondientes. El indicador se encuentra en cumplimiento (nivel óptimo) </t>
  </si>
  <si>
    <t>1. El Informe Pormenorizado del Sistema de Control Interno vigencia 2019, el cual se encuentra publicado en la página web de la UBPD en el siguiente link: https://www.ubpdbusquedadesaparecidos.co/acerca-de-la-busqueda/
2. Memorando N. 12042019 130-3-444 de fecha 12 de abril de 2019.</t>
  </si>
  <si>
    <t>La Oficina de Control Interno realizó seguimiento y evaluación al estado del control interno de la entidad con fecha de corte 01 de diciembre de 2018 al 31 de marzo de 2019 y se remitió el informe pormenorizado del Sistema de Control Interno a la Dirección General mediante memorando N. 12042019 130-3-444 de fecha 12 de abril de 2019.</t>
  </si>
  <si>
    <t>Ya que la medición se enfoca en el número de informes, se debe modificar la descripción para que sea coherente. Se sugiere "Mide el número de informes que elabore la Oficina Asesora de Control Interno para evaluar el avance del Sistema de Control Interno".
Es necesario revisar la meta, pues en el último trimestre del año no alcanzarían a presentar informe, sino que se entregaría en el primer corte de 2020.
Para hacer modificaciones, favor tener en cuenta las fechas que informe la OAP para hacer la solicitud.</t>
  </si>
  <si>
    <t>1. El informe Ejecutivo Anual de Control Interno vigencia 2018, se encuentra publicado en la página web de la Unidad en el siguiente Link: https://www.ubpdbusquedadesaparecidos.co/p/documentos.html</t>
  </si>
  <si>
    <t>La Oficina de Control Interno realizó evaluación y seguimiento al estado del control interno de la entidad y emitió el informe Ejecutivo Anual de Control Interno con Fecha de corte a 31 de diciembre de 2018.</t>
  </si>
  <si>
    <t>Hito 1. Base de datos / Encuesta externa diseñada. 
Hito 2. Listas de asistencia / Correos enviados con convocatoria y conclusiones de las reuniones / Correos a las dependencias sobre caracterización de grupos.
Hito 3. Borrador de la estrategia de rendición de cuentas (introducción y caracterización de grupos).
Hito 4. Documentos base para reuniones y audiencias en el Congreso de la República.
Hito 6. Transcripción de preguntas y evaluaciones de la I audiencia.
Hito 7. Documento de autoevaluación de la I audiencia / Memorando de remisión de la autoevaluación.
Hito 8. Los tres materiales indicados se encuentran publicados en https://www.ubpdbusquedadesaparecidos.co/actualidad/le-quedaron-preguntas-por-resolver-en-la-rendicion-de-cuentas/
Hito 9. Documento de autoevaluación de la I audiencia / Memorando de remisión de la autoevaluación.</t>
  </si>
  <si>
    <t>Hito 1. A partir de la revisión de las guías, Conpes y normativa relacionada, se elaboró un borrador de la estrategia y se avanzó en las etapas básicas, comenzando por la caracterización de los grupos de valor. Para ello, además del documento, se consolidó una base de datos con más de 2.000 registros y una propuesta de encuesta externa para realizarles, una vez la entidad cuente con una política de tratamiento de datos que lo permita. Sin embargo, este hito se reporta en avance en cero, dado que la estrategia no ha sido aprobada por la UBPD.
Hito 2. Se conformó el equipo interno de impulso de la rendición de cuentas, que ha sido liderado por la OAP, y en el que participan la OACP, la DTPCVED y el equipo de Servicio al Ciudadano. Se realizaron reuniones con ellos para construir acuerdos básicos y herramientas, así como para definir las acciones centrales que contendrá la estrategia. Con otras dependencias se sostuvieron reuniones y se les envió información por correo electrónico, en torno a la caracterización de grupos de valor.
Hito 3. La versión final del documento de estrategia de rendición de cuentas está en elaboración. Al respecto se contó también con el apoyo del DAFP, con el que se sostuvo una reunión.
Hito 4. La información fundamental que fue requerida se produjo para el Congreso de la República, en lo que se apoyó a la Dirección General en la construcción y consolidación de datos de interés para dar cuenta de la gestión de la entidad e incidir en los escenarios de definición del presupuesto 2020. Parte de esta información se tomó de los indicadores de Plan de Acción, de los indicadores de proyectos de inversión y de reuniones estratégicas para pensar la visibilización de los avances y resultados de la gestión de la entidad.
Hito 6. Como herramienta fundamental de seguimiento, se acordó sistematizar las preguntas y evaluaciones que surjan en todos los espacios de diálogo que se realicen en el marco de la rendición de cuentas.
Hito 7. Se estableció que las actividades serán reportadas mediante una autoevaluación, la primera de las cuales fue realizada por la OAP, según los parámetros sugeridos en las guías de rendición de cuentas.
Hito 8. En coherencia con lo indicado en el hito 6, el compromiso adquirido en la I audiencia del 19 de junio de 2019 fue responder de manera completa las preguntas recibidas, para lo cual, pese a que la mayoría fueron resueltas en esa misma jornada, elaboramos un documento con todas las respuestas, que fue divulgado a través de la web de la entidad, junto con el video de la audiencia y la presentación en ppt. que fue utilizada.
Hito 9. Se realizó un documento de autoevaluación de la rendición de cuentas, según lo establecido en el hito 7. Fue remitido a la Dirección General y a la Secretaría General.</t>
  </si>
  <si>
    <t>Adecuado</t>
  </si>
  <si>
    <t>37% de los instrumentos de rendición de cuentas implementados</t>
  </si>
  <si>
    <t>39% de los instrumentos de rendición de cuentas implementados</t>
  </si>
  <si>
    <t>El indicador se encuentra en cumplimiento (nivel óptimo) de acuerdo con los hitos planteados y al porcentaje proyectado. Sin embargo, se sugiere iniciar con el desarrollo de los hitos previstos para desarrollar los espacios de rendición de cuentas proyectados para lo que resta de la vigencia.</t>
  </si>
  <si>
    <t>Hito 1. Documentos elaborados para la organización de la audiencia pública y retroalimentación a los que fueron hechos por la OACP; correos electrónicos intercambiados con la creación de documentos y retroalimentación a los avances.
Hito 4. Actualización del informe de gestión y rendición de cuentas, con datos del I trimestre de 2019; formulario para recoger inquietudes de los grupos de valor; guión de la jornada; diapositivas creadas y consolidadas para la audiencia.
Hito 5. Listas de asistencia a la audiencia de rendición de cuentas; transcripción de las preguntas y evaluaciones recibidas (los originales reposan en la OAP); documento de síntesis y respuestas a las preguntas recibidas; documento de autoevaluación de la audiencia (organización y realización).</t>
  </si>
  <si>
    <t>Los avances con respecto a los hitos que se reportan en este periodo son:
Hito 1. La OAP ha asumido de manera muy directa la labor de apoyar la definición de la estrategia de rendición de cuentas, para lo cual convocó las reuniones que fueron necesariar para planear detalladamente la I audiencia pública al respecto y dar orientación sobre las características mínimas y las posibilidades que podía tener esta actividad. Así mismo, lideramos la interlocución con otras áreas para esta labor y se iniciaron las acciones para conformar el Comité que definirá la estrategia en su totalidad.
Hito 4. Además de difundir la información de 2018, se consolidó una actualización del informe de gestión y rendición de cuentas, con datos correspondientes al I trimestre de 2019, teniendo en cuenta que la I audiencia se realizaría en junio. Se diseñó un formulario para recoger inquietudes de los grupos de valor y, con base en ellos, se construyó la estructura de la audiencia y se creó el guión de la jornada.
Hito 5. Se organizó, convocó y realizó la I audiencia pública de rendición de cuentas de la entidad el 19 de junio de 2019, con la participación de 158 personas y transmisión en directo vía streaming. Las preguntas (46) y las evaluaciones (31) recibidas, se respondieron en un documento que está en proceso de publicación en la página web. También se hizo un documento de autoevaluación que fue presentado a la Dirección General. Esta información alimentará la consolidación de la estrategia de RC.</t>
  </si>
  <si>
    <t>22% de los instrumentos de rendición de cuentas implementados</t>
  </si>
  <si>
    <t>El indicador se encuentra en cumplimiento (nivel óptimo) de acuerdo con los hitos planteados y al porcentaje proyectado. Los soportes guardan coherencia con lo reportado.</t>
  </si>
  <si>
    <t>1. Informe de gestión y rendición de cuentas 2018 publicado en la página web de la UBPD
2. Listado de asistencia reunión con la Oficina Asesora de Comunicaciones y Pedagogía de fecha 19/03/2019</t>
  </si>
  <si>
    <t>Se consolidó, construyó y publicó el informe de gestión de la UBPD del año 2018. Adicionalmente, se apoyó a la Oficina Asesora de Comunicaciones y Pedagogía en la construcción de propuestas para realizar la(las) audiencia(s) de rendición de cuentas para el 2019.</t>
  </si>
  <si>
    <t>7% de los instrumentos de rendición de cuentas implementados</t>
  </si>
  <si>
    <t>1. 4 informes de seguimiento a la ejecución presupuestal de los proyectos de inversión
2. 3 alertas correspondientes a la programación del Plan Anual de Adquisiciones y los saldos de recursos pendientes por gestionar
3. 5 reuniones de trabajo con los líderes de la ejecución del presupuesto de inversión</t>
  </si>
  <si>
    <t>La OAP envió a los responsables de la ejecución de recursos 4 informes de seguimiento a la ejecución presupuestal de los proyectos de inversión de la UBPD, comparando la ejecución de la entidad con la del SIVJRNR. Adicionalmente, a los mismos responsables de la ejecución de recursos se enviaron 3 alertas correspondientes a la programación del Plan Anual de Adquisiciones y los saldos de recursos pendientes por gestionar. Tambien, se realizaron 5 reuniones de trabajo con los responsables de la ejecución del presupuesto de inversión, con el fin de verificar los contratos pendientes, los saldos por programar, las posibles contrataciones por incluir en el Plan Anual de Adquisiciones y el monto de los recursos suceptibles de no ejecución y posible devolución. Dentro de las alertas enviadas, la Oficina Asesora de Planeación sugirió solicitar al Ministerio de Hacienda y Crédito Público la devolución de los recursos que no se fueran a ejecutar.</t>
  </si>
  <si>
    <t>6,71% de la ejecución presupuestal de los recursos de Inversión</t>
  </si>
  <si>
    <t>61,1% de la ejecución presupuestal de los recursos de Inversión</t>
  </si>
  <si>
    <t>Se encuentra en nivel crítico con una ejecución estimada inferior al 15,39% con relación a la meta prevista. En este sentido, se sugiere continuar con los mecanismos de seguimiento efectuados en conjunto con la Secretaria General, de tal forma, que se incremente el margen de ejecución presupuestal en lo que resta de la vigencia. Se solicita a todas las áreas responsables de recursos agilizar su ejecución.</t>
  </si>
  <si>
    <t>1. Presentaciónes de ejecucion presupuestal
2. Memorandos conjuntos con SG
3. Listados de asistencia.
4. Actas enviadas y socializadas pendientes de firma.</t>
  </si>
  <si>
    <t>Se enviaron los informes de seguimiento a la ejecución presupuestal de los proyectos de inversión de la UBPD, comparado la ejecución de la entindad con la del SIVJRNR. Adicionalmente, se enviaron las alertas correspondientes a la programación del Plan Anual de Adquisiciones y los saldos de recursos pendientes por gestionar. Se realizaron las reuniones con directores y jefes de Oficina para definir las necesidades que permitan programar en el Plan Anual de Adquisiciones la totalidad del presupuesto de inversión. Finalmente, se han presentado alertas en los comités de gestión 01 y 03 de fechas 02/04/2019 y 29/05/2019, respectivamente, con el fin de conocer las dificultades que se han presentado para el cumplimiento de las metas de ejecución presupuestal y se han solicitado los planes detallados de trabajo para mejorar la ejecución presupuestal de inversión</t>
  </si>
  <si>
    <t>2,07% de la ejecución presupuestal de los recursos de Inversión</t>
  </si>
  <si>
    <t>17,46% de la ejecución presupuestal de los recursos de Inversión</t>
  </si>
  <si>
    <t>El indicador se encuentra en cumplimiento (nivel óptimo) de acuerdo con la meta y el porcentaje proyectados para el periodo de reporte. Los soportes guardan coherencia con lo reportado. En el análisis cualitativo se ofrece, además, información detallada que facilita entender a qué corresponde el avance que soporta el cumplimiento del indicador.</t>
  </si>
  <si>
    <t>1. Se adjunta reporte de SIIF Nación con ejecución presupuestal con corte a 31 de enero 28 de febrero y 30 de Marzo.</t>
  </si>
  <si>
    <t>Las obligaciones realizadas durante el primer trimestre corresponden a avances en la ejecución de contratos de la oficina de tecnología por valor de $35.215.644 asociados al proyecto de fortalecimiento producto sedes adecuadas rubro C-4499-1000-1-0-4499013-02. Adicionalmente se han realizado informes de seguimiento a la ejecución presupuestal elaborados y presentados por la Oficina Asesora de Planeación a la Dirección General y al equipo directivo, con las siguientes fechas de corte:
1) Con corte a febrero 4 de 2019, presentado a través de correo electrónico a la Dirección General, Subdirección General Técnica y Territorial, Secretaría General, Subdirección Administrativa y Financiera y Subdirección de Gestión Humana. 
2) Con corte a 22 de febrero de 2019, presentado en reunión del equipo misional (se adjunta presentación pero el listado de asistencia o acta de estas reuniones no reposa en la Oficina Asesora de Planeación)
3) Con corte a 28 de febrero de 2019, enviado por memorando a todo el equipo directivo.
4) Con corte a 31 de marzo de 2019, socializado en Comité de Gestión del 2 de abril de 2019 (se adjunta listado de asistencia; el acta se encuentra en elaboración)</t>
  </si>
  <si>
    <t>0,07% de la ejecución presupuestal de los recursos de Inversión</t>
  </si>
  <si>
    <t>1. Pantallazo de la distribución de la cuota de inversión del SUIFP
2. Listado de asistencia con la Dirección General y la Secretaria General para distribuir cuota internamente.</t>
  </si>
  <si>
    <t>Los proyectos de inversión fueron aprobados e incluidos en el Plan Operativo Anual de Inversión (POAI) para la vigencia 2020. La cuota asignada a la entidad fue comunicada por el Departamento Nacional de Planeación el 15 de julio de 2019 mediante el Sistema Unificado de Inversiones y Finanzas Públicas / módulo presupuesto. Este presupuesto fue distribuido internamente en los 2 proyectos de inversión luego de una revisión efectuada con la Dirección General de la UBPD.</t>
  </si>
  <si>
    <t>2 proyectos de inversión aprobados</t>
  </si>
  <si>
    <t>El presente indicador no tiene reporte programado para el actual periodo de medición. Sin embargo, valoramos el avance cualitativo reportado, toda vez que brinda un contexto del proceso para llegar a la meta anual proyectada.</t>
  </si>
  <si>
    <t>1. Informes de seguimiento (2) enviados a los gerentes de los proyectos de inversión, sobre la información registrada en el SPI.
2 Informes Consolidados de la información resportada.
3. Registros mensuales que se realizan en el SPI.</t>
  </si>
  <si>
    <t>Se realizaron los seguimientos correspondientes al segundo trimestre de la vigencia, recopilando y consolidando la información correspondiente a los avances cuantittivos y cualitativos reportados por los Directores y Jefes de Oficina, que tienen productos asociados a las cadenas de valor de los proyectos de inversión.</t>
  </si>
  <si>
    <t>0 proyectos de inversión aprobados</t>
  </si>
  <si>
    <t>Durante el primer trimestre se realizó la actualización de los dos proyectos de inversion de la UBPD: "Implementación de procesos humanitarios y extrajudiciales de búsqueda de personas dadas por desaparecidas en razón y en contexto del conflicto armado colombiano" y "Fortalecimiento de la Unidad de Búsqueda de personas dadas por desaparecidas", al Decreto 2467 de diciembre de 2018, de liquidación del Presupuesto General de la Nación. Adicionalmente, es importante mencionar que, para realizar la distribución de recursos por actividades, se utilizó la versión del PAA 2019 vigente para el mes de febrero de 2019.</t>
  </si>
  <si>
    <t>1. Seguimiento del Mapa de riesgos de corrupción en el link: https://www.ubpdbusquedadesaparecidos.co/acerca-de-la-busqueda/#sec-trans
2. Mapas de riesgos de proceso, en el link: \\Bog-opl-04\archivo digital\SGC Política de calidad en el link \\Bog-opl-04\archivo digital\Consultoría de procesos\Metodología y documentos\Política de calidad y riesgos\Calidad.
3. Política de administración de riesgos, en el link: \\Bog-opl-04\archivo digital\Consultoría de procesos\Metodología y documentos\Política de calidad y riesgos\Riesgos.
4. Documentos del Sistema de Gestión de la Calidad, en la ruta: 
https://drive.google.com/drive/u/1/folders/18ukstRdNI-u_DJBg24JeAev3dIniYEnM
5. Políticas de gestión y desempeño en el link: \\Bog-opl-04\archivo digital\SGC\Políticas de gestión y desempeño
6. Lineamientos de las políticas de gestión y desempeño, en el link: \\Bog-opl-04\archivo digital\SGC\Políticas de gestión y desempeño
7. Correo con las observaciones de las políticas de gestión y desempeño y solicitud de concepto sobre la política de racionalización de trámites, en el link: \\Bog-opl-04\archivo digital\SGC\Políticas de gestión y desempeño
8. Presentación y Plan de Acción MECI. \\Bog-opl-04\archivo digital\SGC\Políticas de gestión y desempeño\MECI</t>
  </si>
  <si>
    <t>1. La OAP realizó monitoreo y seguimiento del Mapa de Riesgos de Corrupción del segundo periodo de 2019. Así mismo, fue publicado en la página web de la UBPD
2. Se desarrollaron los mapas de riesgos de proceso de los procesos estratégicos, apoyo y evaluación de la Entidad.
3. La política de administración de riesgos fue construida en mesa de trabajo desarrollada el día 13 de junio de 2019, en la cual se llevó a cabo un ejercicio colectivo que permitió la elaboración de una propuesta de política de política de riesgos, esta fue enviada mediante correo electrónico para la revisión y observaciones, resultado del ejercicio se ajustó el documento.
4. Se avanzó el en diseño de los procesos, procedimientos y demás documentos de los procesos estratégicos, apoyo y evaluación. Así mismo se construyó la ruta del proceso de búsqueda que dará la orientación al proceso misional.
5. El día 26 de agosto de 2019 se remitió por correo electrónico una propuesta de trabajo para continuar con el análisis para abordar los elementos o temas asociados a políticas de gestión, en reunión con la Dirección General se ha decidido iniciar con el abordaje de los siguientes: 1. Transparencia, acceso a la información pública y lucha contra la corrupción, racionalización de trámites, gestión documental y Seguridad digital.
Las demás temáticas de las políticas de gestión ya se están desarrollando por los líderes y se ha avanzado en la implementación en la UBPD.
6. Proyección de los lineamientos para el diseño e implementación de políticas de gestión en la UBPD y proyecto de resolución derogatoria del Comité de Gestión, documentos enviados mediante memorando el día 26 de septiembre de 2019, atendiendo las recomendaciones hechas en el Comité Institucional de Coordinación de Control Interno realizado el día 19 de septiembre de 2019. 
7. Acompañamiento de la OAP en el diligenciamiento de la matriz para el análisis de las diferentes políticas de gestión donde se establece las acciones a desarrollar y solicitud de concepto jurídico sobre la aplicación de la política de racionalización de trámites en la UBPD.
8. En el Comité Institucional de Coordinación de Control Interno realizado el día 19 de septiembre de 2019 se presentaron cada uno de los componentes del MECI y las acciones generales a desarrollar, por parte de cada uno de los líderes de estas temáticas, para la revisión y aprobación de los miembros del Comité.</t>
  </si>
  <si>
    <t>20,8% del sistema de gestión diseñado e implementado en el 2019</t>
  </si>
  <si>
    <t>23% del sistema de gestión diseñado e implementado en el 2019</t>
  </si>
  <si>
    <t>El indicador se encuentra en nivel de cumplimiento adecuado, toda vez que estuvo un 1,9% por debajo de la meta proyectada para el trimestre. En este sentido, se sugiere apoyar el mecanismo que permita al comité de gestión contar con elementos para definir las políticas que se van a implementar en la UBPD, cumpliendo el 5% pendiente. Finalmente, se reconocen victorias tempranas en temas relacionados con el diseño del sistema de gestión y en participación ciudadana proyectados para el 3er trimestre con un avance del 4,10%
NOTA: Tenga presente que este indicador se encuentra asociado al Proyecto de Inversión BPIN 2018011000898 específicamente en el producto Servicio de Implementación del sistema de gestión. Por lo tanto, la información reportada en el Plan de Acción debe corresponder con el avance obtenido en este indicador y reportado mensualmente durante el seguimiento a proyectos de inversión en el SPI</t>
  </si>
  <si>
    <t>1. Seguimiento del Mapa de riesgos de corrupción en el link: https://www.ubpdbusquedadesaparecidos.co/acerca-de-la-busqueda/#sec-trans
2. Contexto estratégico, política de calidad, política de riesgos y lista de asistencia
3. Documentos del Sistema de Gestión de la Calidad: ruta: 
https://drive.google.com/drive/u/1/folders/18ukstRdNI-u_DJBg24JeAev3dIniYEnM
4. Matriz de requisitos del Sistema de Gestión
5. Concepto de la función pública, solicitud de concepto a la Oficina Asesora Jurídica y Plan de Acción MECI, las actas se encuentranen la carpeta : \\Bog-opl-04\archivo digital\Plan de Acción\2019\Seguimiento II trimestre 2019
6. Plan de Acción MECI
7. Pantalla de Publicación en página web 22012019 de la CONSULTA del PAAC y del Mapa de Riesgos de Corrupción 2019
8. Correo CONSULTA Proyecto Plan Anticorrupción y de Atención al Ciudadano y el Mapa de Riesgos de Corrupción 2019
9. Consulta Rendiciíón de Cuentas</t>
  </si>
  <si>
    <t>1. La OAP realizó monitoreo y seguimiento del Mapa de Riesgos de Corrupción del primer cuatrimestre 2019. Así mismo, fue publicado en la página web de la UBPD
2. Con relación a la planeación estratégica del Sistema de Gestión se elaboró el contexto estratégico externo e interno para la administración de riesgos y se construyó la primera versión de las políticas de calidad y de riesgos.
3. Se han diseñado procedimientos, planes y formatos en el marco del Sistema de Gestión de la Calidad, solicitados por las diferentes áreas para la respectiva codificación y versionamiento.
 4. Actualmente se cuenta con la matriz de requisitos para la implementación del Sistema de Gestión de la calidad, donde se detalla las actividades que se requiere desarrollar para cada una de ellos.
5. Se solicitó concepto técnico al Departamento Administrativo de la Función Pública el día 03 de enero de 2019 relacionados con la implementación del Modelo Integrado de Planeación y Gestión y la Implementación del Modelo Estándar de Control Interno, concepto que fue recibido por la UBPD el día 04 de febrero de 2019 y presentado a los miembros del Comité de Gestión el No 01 del día 02 de abril de 2019.
Posteriormente, se solicitó un análisis jurídico a la Oficina Asesora encargada de estos temas en la Entidad sobre las políticas de gestión y desempeño mediante comunicación interna. Este concepto fue solicitado reiterativamente en los Comités de Gestión por parte de la Oficina Asesora de Planeación desarrollados los días: 08 de abril, 29 de mayo, 25 de junio y 25 de junio de 2019 
Igualmente, se remitieron los autodiagnósticos de las políticas de gestión y desempeño para el análisis por parte de los líderes de cada una de ellas y se elaboró el plan de acción del Modelo Estándar de Control Interno basado en el autodiagnóstico del Departamento Administrativo de la Función Pública.
Con relación a las políticas de gestión tales como: talento humano, integridad, direccionamiento y planeación, plan anticorrupción y atención al ciudadano y gestión financiera, en los Comités de Gestión se han presentado varios elementos para revisión y aprobación de la alta dirección.
6. - Con relación a la política de control interno la Oficina de Planeación acompañó la elaboración del plan de acción del MECI, a partir del autodiagnóstico desarrollado por la Oficina de Control Interno, el cual fue remito a control interno el día 16 de mayo de 2019 para la revisión y evaluación independiente que realiza esta Oficina, ajustes que fueron realizados por la Oficina Asesora de Planeación y enviando para la presentación en el Comité Institucional de Control Interno.
7. Se publicaron para la participación ciudadana los siguientes temas: Plan Anticorrupción y Atención al ciudadano, Mapa de Riesgos de Corrupción y los documentos relacionados con la audiencia de rendición de cuentas 2018 realizada en junio 19 de 2019.</t>
  </si>
  <si>
    <t>18,1% del sistema de gestión diseñado e implementado en el 2019</t>
  </si>
  <si>
    <t>20% del sistema de gestión diseñado e implementado en el 2019</t>
  </si>
  <si>
    <t>El indicador se encuentra en cumplimiento (nivel óptimo), de acuerdo con los hitos planteados y al porcentaje proyectado. Los soportes guardan coherencia con lo reportado.</t>
  </si>
  <si>
    <t>1. Plan anticorrupción y atención al ciudadano 2019 UBPD 29012019 Publicar
2. Riesgos Corrupción 2019 UBPD 29012019 Publicar
3. Acta de reunión directiva 001 y listado de asistencia 11012019
4. Acta de reunión directiva 002 y listado de asistencia 18012019
5. Acta de reunión directiva 003 25012019
6. Listados de asistencia 7 sesiones de trabajo individuales 1-2019
7. Correo Masivo Proyecto del Plan Anticorrupción y de Atención al Ciudadano y el Mapa de Riesgos de Corrupción 2019
8. Pantalla de Publicación en página web 22012019
9. Correo AVISO publicación y envío masivo del Plan Anticorrupción y Atención al Ciudadano y el Mapa de Riesgos de la UBPD 2019
10. Documentos del Sistema de Gestión de la Calidad: ruta: 
https://drive.google.com/drive/u/1/folders/18ukstRdNI-u_DJBg24JeAev3dIniYEnM
11. Resolución 079 de 2019 Por la cual se crea el Comité de Gestión de la UBPD
12. Rutas preliminares de los procesos misionales.</t>
  </si>
  <si>
    <t xml:space="preserve"> - Se elaboró, aprobó y publicó el plan anticorrupción y atención al ciudadano y el mapa de riesgos de corrupción de la UBPD para la vigencia 2019. Durante la construcción del plan y del mapa se realizó un proceso de participación con la ciudadanía y los servidores públicos para recibir propuestas o sugerencias de ajuste al respecto.
 - Se han diseñado procedimientos, planes y formatos en el marco del Sistema de Gestión de la Calidad, solicitados por las diferentes áreas para la respectiva codificación y versionamiento.
- Se proyectó la resolución que conforma el Comité de Gestión Institucional que permite fortalecer la implementación de las políticas de gestión y desempeño.
- Se inició el diseño de las rutas preliminares de los procesos misionales como parte del alistamiento territorial. </t>
  </si>
  <si>
    <t>1% del sistema de gestión diseñado e implementado en el 2019</t>
  </si>
  <si>
    <t>ÚLTIMO EN DILIGENCIAR Y CALCULAR</t>
  </si>
  <si>
    <t>56% de las metas del plan de acción cumplidas</t>
  </si>
  <si>
    <t>90% de las metas del plan de acción cumplidas</t>
  </si>
  <si>
    <t>El indicador se encuentra en nivel de riesgo, por lo anterior, se sugiere analizar en el comité de gestión aquellos indicadores que se encuentran con una lectura con nivel de cumplimiento en crítico y riesgo, especialmente en los que respecta a los indicadores misionales, toda vez que afectan el cumplimiento de los objetivos de la UBPD. Lo anterior, para que los líderes puedan desarrollar estratégias que permitan dar cumplimiento a las metas proyectadas en lo que resta de la vigencia.</t>
  </si>
  <si>
    <t>1. Matriz de seguimiento al Plan de Acción 2019 con fecha corte 30 de junio de 2019
2. Informe de seguimiento del plan de acción segundo trimestre 2019</t>
  </si>
  <si>
    <r>
      <t xml:space="preserve">Para el año 2019 existen 71 indicadores registrados en el Plan de Acción 2019. De estos 71 indicadores, en el segundo trimestre de 2019 existen 43 indicadores con metas programadas mayores a cero, generando entonces una meta de este indicador para el segundo trimestre de </t>
    </r>
    <r>
      <rPr>
        <b/>
        <sz val="9"/>
        <rFont val="Arial Narrow"/>
        <family val="2"/>
      </rPr>
      <t>60,56%</t>
    </r>
    <r>
      <rPr>
        <sz val="9"/>
        <rFont val="Arial Narrow"/>
        <family val="2"/>
      </rPr>
      <t xml:space="preserve">. Durante el trimestre se dio cumplimiento con nivel «óptimo», «adecuado» y «subestimado» a 31 de ellos. Por lo anterior, se genera el cálculo de este indicador tomando los 31 indicadores sobre los 71 inscritos en el Plan de Acción 2019 con un resultado del </t>
    </r>
    <r>
      <rPr>
        <b/>
        <sz val="9"/>
        <rFont val="Arial Narrow"/>
        <family val="2"/>
      </rPr>
      <t>42,25%</t>
    </r>
    <r>
      <rPr>
        <sz val="9"/>
        <rFont val="Arial Narrow"/>
        <family val="2"/>
      </rPr>
      <t xml:space="preserve">. Por lo anterior, se calcula el avance cuantitativo así: =((43/71)/(31/71))= (60,56%)/(43,66%)= </t>
    </r>
    <r>
      <rPr>
        <b/>
        <sz val="9"/>
        <rFont val="Arial Narrow"/>
        <family val="2"/>
      </rPr>
      <t>72,09%</t>
    </r>
    <r>
      <rPr>
        <sz val="9"/>
        <rFont val="Arial Narrow"/>
        <family val="2"/>
      </rPr>
      <t>, dejando el indicador en nivel de riesgo de cumplimiento
Existen 15 indicadores con lectura por fuera de cumplimiento, (11) en nivel crítico y (4) en nivel riesgo</t>
    </r>
  </si>
  <si>
    <t>69,8% de las metas del plan de acción cumplidas</t>
  </si>
  <si>
    <t>Aunque no se tiene un desempeño óptimo del indicador (90% o más), el % obtenido muestra un nivel adecuado en el cumplimiento de metas de la entidad para el periodo reportado. Se sugiere iniciar la programación de reuniones con los líderes de las áreas para hacer la revisión y posible ajuste de los indicadores y las metas, así como coordinar el Comité de Gestión para aprobar los ajustes.</t>
  </si>
  <si>
    <t>1. Seguimiento al Plan de Acción 2019 con fecha corte 31 de marzo de 2019</t>
  </si>
  <si>
    <r>
      <t xml:space="preserve">Para el año 2019 existen 71 indicadores registrados en el Plan de Acción 2019. De estos 71 indicadores, en el primer trimestre de 2019 se encuentran 31 indicadores con metas mayor a cero generando entonces una meta de este indicador para el primer trimestre de </t>
    </r>
    <r>
      <rPr>
        <b/>
        <sz val="9"/>
        <rFont val="Arial Narrow"/>
        <family val="2"/>
      </rPr>
      <t>43,7%</t>
    </r>
    <r>
      <rPr>
        <sz val="9"/>
        <rFont val="Arial Narrow"/>
        <family val="2"/>
      </rPr>
      <t xml:space="preserve">. De los 31 indicadores precitados se dio cumplimiento con nivel «óptimo» en 25 de ellos. Por lo anterior, se genera el cálculo de este indicador tomando los 25 indicadores sobre los 71 inscritos en el Plan de Acción 2019 con un resultado del </t>
    </r>
    <r>
      <rPr>
        <b/>
        <sz val="9"/>
        <rFont val="Arial Narrow"/>
        <family val="2"/>
      </rPr>
      <t>35,2%</t>
    </r>
    <r>
      <rPr>
        <sz val="9"/>
        <rFont val="Arial Narrow"/>
        <family val="2"/>
      </rPr>
      <t xml:space="preserve">. Por lo anterior, se calcula el avance cuantitativo así: =((25/71)/(31/71))= (35,2%)/(43,7%)= </t>
    </r>
    <r>
      <rPr>
        <b/>
        <sz val="9"/>
        <rFont val="Arial Narrow"/>
        <family val="2"/>
      </rPr>
      <t>80,6%</t>
    </r>
  </si>
  <si>
    <t>80,6% de las metas trimestrales del plan de accion con nivel óptimo o adecuado</t>
  </si>
  <si>
    <t>* Maqueta de la Intranet.
* Boletín No. 8.
* Carteleras julio, agosto, septiembre.
* Reporte digital que incluye reporte correo institucional.</t>
  </si>
  <si>
    <t>Se realizó el cubrimiento audiovisual y fotográfico de los espacios de conversatorios y conferencias realizados por las diferentes dependencias misionales. 
Se elaboró y socializó internamente el boletín No. 8.
Se actualizó periódicamente la cartelera interna.
Se compartió periodicamente información de interés para los servidores y contratistas de la UBPD a través del correo electrónico de comunicaciones y se apoyó en el desarrollo de piezas gráficas.  
Se avanzó en la construcción de la maqueta de la Intranet de la UBPD.</t>
  </si>
  <si>
    <t>0 herramientas de comunicación interna</t>
  </si>
  <si>
    <t>1 herramientas de comunicación interna</t>
  </si>
  <si>
    <t>El indicador no tiene avance cuantitativo programado para el presente periodo de reporte. Se encuentra en cumplimiento (nivel óptimo), con el avance reportado en el primer trimestre del año. Valoramos el avance cualitativo, que permite entender las acciones encaminadas a futuros reportes numéricos.
Es importante tener en cuenta, para eventuales reformulaciones del indicador para el Plan de acción 2020, si se espera contar el número de piezas o acciones, o el tipo de herramienta, pues actualmente se hace lo segundo según la descripción y método de medición, pero el avance cualitativo da cuenta de lo primero.</t>
  </si>
  <si>
    <t>1. Boletines abril y junio. / 2. Carteleras Internas abril, mayo y junio. / 3. Reporte comunicaciones enviadas por correo electrónico "Comunicaciones".
https://drive.google.com/open?id=1awUXFsZ4NqKDeVJD7gtjRBdeVjYSUCau (Desde la OAP agregamos el enlace con la ruta específica a la carpeta con la información).</t>
  </si>
  <si>
    <t xml:space="preserve">Con la entrada de dos nuevas integrantes en el equipo se fortalecieron las herramientas de comunicación interna ya existentes (boletínes, carteleras internas y correo comunicaciones@). Adicionalmente se avanzó en la propuesta para el desarrollo de la Intranet. </t>
  </si>
  <si>
    <t>El indicador se encuentra en cumplimiento (nivel óptimo) de acuerdo con las herramientas planteadas para ser implementadas en el periodo y al porcentaje de avance proyectado.
Se sugiere evaluar la pertinencia de medir en el futuro el uso del correo comunicaciones@, teniendo en cuenta que tanto valor agrega a las acciones de la OACP.</t>
  </si>
  <si>
    <t>1. Boletines febrero 2019 
2. Carteleras internas febrero y marzo 2019 y lineamientos
3. Comunicaciones enviadas por correo electrónico de "Comunicaciones".</t>
  </si>
  <si>
    <t xml:space="preserve">Se realizaron y socializaron dos boletines internos informativos; se definieron los lineamientos de la cartelera interna informativa y se colocaron dos carteleras que se van actualizando una o dos veces por mes, según demanda de información. Se enviaron las comunicaciones oficiales de la entidad o de interés para los servidores y servidoras a través del correo "Comunicaciones UBPD". </t>
  </si>
  <si>
    <t>3 herramientas de comunicación interna</t>
  </si>
  <si>
    <t>ESTRATEGIA CÍRCULO DE SABERES (8): FASE EXPLORATORIA  1. Encuentro Fase Exploratoria. Villavicencio. FASE II y FASE III: 1. Encuentro Sincelejo Fase II; 2. Encuentro Villavicencio Fase II; 3. Encuentro Apartadó Fase II; 4. Encuentro Puerto Asis Fase II; 5. Encuentro San José Apartadó Fase II; 6. Encuentro Córdoba Fase II; 7. Puerto Asís Fase III.
PIEZAS IMPRESAS (1): Folleto de bolsillo.
ESTRATEGIA DIGITAL (3): 1. Semana Pueblos Indigenas; 2. Diccionario; 3. Proyecto Identificacion Cuerpos. 4. Reporte digital julio-septiembre.
CAMPAÑA SENSIBILIZACIÓN Y MOVILIZACIÓN (2): 1. Informativo Radial 1; 2. Informativo Radial 2. 
OTROS (15):  1. Cubrimiento Plan Protocolarización Pueblo Rrom. // 2. Cubrimiento Plan Piloto Norte de Santander.  // 3. Cubrimiento FAFG 2do Encuentro. // 4. Cubrimiento Cartografías de la memoria. 
5. Cubrimiento Encuentro Sistema // 6. Cubrimiento Entrega FARC. // 7. Cubrimiento entrega informes Víctimas Exilio. // C1058. Cubrimiento Encuentro Comunidades Negras. // 9. Campaña Consejo Asesor. // 10. Espacio Pedagógico Reinicar Florencia.  // 11. Espacio Pedagógico MOVICE Córdoba // 12. Encuentro reconocimiento Pasto // 13. Espacio Pedagógico Reiniciar Meta. // 14. Espacio Pedagógico Reinicar. Bogotá. // 15. Cubrimiento Conmemoración 30 de agosto.</t>
  </si>
  <si>
    <t>* Se avanzó en el desarrollo de contenidos pedagógicos a través de talleres de plastilina con "Te lo explico con plastilina" el viernes 26 de julio con servidores y contratistas de la UBPD y el  y el 14 de septiembre con niños y niñas, en Bogotá, con el fin de elaborar piezas aniñadas en plastilina que expliquen el proceso de búsqueda.   
* Se finalizó la Fase Exploratoria de la Estrategia Círculo de Saberes, se implementó la Fase II y se inició la Fase III. 
* Se avanzó en la producción y emisión del programa de radio en Radio Nacional y en la preproducción de la serie documental para televisión en la definición de los temas por capítulos y la definición y contacto con las fuentes.  
* Se avanzó en la publicación en la página web de la información mínima requerida por los estándares de Transparencia y Acceso a la Información, que consistió en actualizar por un lado los procesos y procedimientos de la UBPD así como su Plan Estratégico, en Plan anticorrupción, el informe de Austeridad, el Directorio de la entidad y la Política de Transparencia y Acceso a la Información. Por otro lado se actualizaron el Plan y Manual de Atención y servicio al ciudadano y los informes de PQRSD hasta la fecha. Adicional a eso se actualizó el documento de Preguntas Frecuentes de la UBPD y el normograma de Desaparición Forzada. 
* Se avanzó en la movilización de periodistas a través de proyecto con Consejo de Redacción, CICR y PNUD, mediante la construcción del manual "Pistas para investigar la desaparición y la búsqueda de personas Diálogos con la Ausencia". 
* Se avanzó en las gestiones con medios de comunicación para la publicación de contenidos noticiosos de la UBPD e historias de búsqueda de familiares, así como en el monitoreo, medición y análisis. 
* Se entrega reporte digital de julio a septiembre.</t>
  </si>
  <si>
    <t>29 acciones de pedagogía y comunicación estratégica externa</t>
  </si>
  <si>
    <t>22 acciones de pedagogía y comunicación estratégica externa</t>
  </si>
  <si>
    <t>El indicador se encuentra en cumplimiento (nivel óptimo), pues se reportan el número de acciones de comunicación estratégica proyectadas.
Se sugiere que los avances (tal como se hizo con los soportes) se narren agrupadas de acuerdo a las cinco categorías indicadas en la descripción, que son las que componen la meta programada:
 1) Estrategia Círculo de Saberes Creativos
 2) Piezas impresas
 3) Estrategia digital
 4) Campaña de sensibilización y movilización
 5) Otros
La recomendación no solo tiene que ver con la organización de la información, sino con la facilidad para poder verificar que los avances corresponden efectivamente con lo proyectado, así como a poder evaluar mejor qué componentes tienen mayor peso dentro del indicador, de cara a posibles reformulaciones para el siguiente Plan de acción.
NOTA: Tenga presente que este indicador se encuentra asociado al Proyecto de Inversión BPIN 2018011000907 específicamente en el producto Servicio de Socialización. Por lo tanto, la información reportada en el Plan de Acción debe corresponder con el avance obtenido en este indicador y reportado mensualmente durante el seguimiento a proyectos de inversión en el SPI.</t>
  </si>
  <si>
    <t>ESTRATEGIA CÍRCULO DE SABERES CREATIVOS: Encuentros Exploratorios 1. Mesa víctimas Montería y veredas. 2. Mujeres Tejedoras de Memoria de Montería. 3. Colectivo Poder Mestizo de Montería. 4. San José de Apartadó. 5. Apartadó.
PIEZAS IMPRESAS: 6. ABC de la UBPD.
ESTRATEGIA DIGITAL 7. Portal Web oficial UBPD. 
CAMPAÑA SENSIBILIZACIÓN Y MOVILIZACIÓN Cuñas radiales 8. Qué es la UBPD. 9. A quién busca la UBPD. 10. Carácter humanitario. 11. Carácter extrajudicial. 12. Principio de confidencialidad. 
OTROS: Espacios Pedagógicos 13. Mesa Distrital. 14. Pereira. 15. Tame. 16. Neiva / 17. Video La Esperanza nos Mueve. / Gira de Medios 18. Apartadó. 19. Barranquilla. 20. Sincelejo. 21. Villavicencio / 22. Transmisión y estrategia digital Rendición de cuentas. / Campañas digitales 23. Pieza Día Orgullo LGTBI 24. Pieza 9 de Abril. 25. Campaña Día Detenido Desaparecido. 26. Campaña de la Afrocolombianidad. / 27. Foro Revista Arcadia - Feria del Libro. / 28. Se realizó material de imagen institucional (Agendas, manillas, mochilas). 
https://drive.google.com/open?id=1otx8V_TJzrHBI1Nt9sM9Ygsb500oSEcf</t>
  </si>
  <si>
    <t>Se puso en funcionamiento el nuevo portal web de la UBPD; se realizó una Gira de Medios en el marco del despliegue territorial de la UBPD; se finalizó la Fase exploratoria de la Estrategia Círculo de saberes creativos; se llevó a cabo la primera audiencia de Rendición de cuentas; se fortalecieron las redes sociales Twitter y Facebook de la UBPD con la entrada de la Community Manager; se avanzó en la elaboración de las propuestas del programa de radio, el programa de televisión y los mensajes institucionales; se realizaron las gestiones para la difusión de las cuñas radiales en emisoras públicas, privadas, comunitarias y alternativas; se avanzó en la definición y el proceso de adquisición de los elementos de identificación institucional.</t>
  </si>
  <si>
    <t>28 acciones de pedagogía y comunicación estratégica externa</t>
  </si>
  <si>
    <t>26 acciones de pedagogía y comunicación estratégica externa</t>
  </si>
  <si>
    <t>El indicador se encuentra en cumplimiento (nivel óptimo) de acuerdo con las herramientas planteadas para ser implementadas en el periodo y al porcentaje de avance proyectado. Los soportes guardan coherencia con los avances proyectados y reportados.</t>
  </si>
  <si>
    <t>1. Desayuno con Periodistas
2. Encuentro Exploratorio Puerto Asís
3. Encuentro Exploratorio Villavicencio
4. Twitter
5. Campaña Digital conmemoración 8 marzo. / Videos pedagógicos
6. Propósitos UBPD
7. Quién es una persona desaparecida
8. En el camino de la Búsqueda
9. Enfoque de Género en la UBPD, 
10. Impactos de la Desaparición en las Mujeres</t>
  </si>
  <si>
    <t xml:space="preserve">Se construyó el logo y la imagen institucional de la UBPD; se construyó la estrategia de comunicaciones y pedagogía; se lograron acercamientos y alianzas con diferentes medios de comunicación; se realizó la identificación de necesidades pedagógicas con las diferentes áreas de la UBPD, así como la propuesta de contenidos y piezas pedagógicas para el acceso al mecanismo; se inició la Fase Exploratoria de la Estrategia Círculo de Saberes en territorio; se elaboraron diferentes piezas audiovisuales pedagógicas. Se avanzó en el desarrollo y producción de contenidos de la nueva página web. Se abrió la cuenta oficial de la UBPD en Twitter, la cual para finales del primer trimestre ya contaba con más de 1000 seguidores. </t>
  </si>
  <si>
    <t>10 acciones de pedagogía y comunicación estratégica externa</t>
  </si>
  <si>
    <t>Para el periodo comprendido entre el 01/09/2019 y 30/09/2019 no hay cambios en el indicador.; Lo anterior debido, a que en el periodo comprendido no se realizaron  y ejecutaron pruebas de concepto, debido a que esta actividad ya fue completada al 100%
Las pruebas de concepto ya fueron realizadas con las herramientas de software OCR y Architecture, Engineering and construction collection.</t>
  </si>
  <si>
    <t>0 herramientas de apoyo a la gestión de información identificadas y probadas</t>
  </si>
  <si>
    <t>1 herramientas de apoyo a la gestión de información identificadas y probadas</t>
  </si>
  <si>
    <t>El nivel óptimo se entiende para este trimestre como una victoria temprana, toda vez que, la meta se tenía prevista para el 3er y 4to trimestre. Con el fin de generar valor agregado al tema, se sugiere concretar con las áreas misionales la adquisición de la herramienta escogida durante la identificación y selección para la presente vigencia</t>
  </si>
  <si>
    <t>https://drive.google.com/drive/folders/1uv-wWJPr6-y3PUZ00tMiGmht8P6mYIxh en esta ruta esta la copia de los estudios previos de la herramienta Autodesk Architecture, Engineering Construction Collection la cual está en curso de adquisición
https://drive.google.com/drive/folders/1k_l9Mb1872pw-92UPsrWtFXcHt5fYYED en esta ruta esta los distintos correos que muestran la gestión realizada con las pruebas y decisiones de adquisición de las herramientas de software</t>
  </si>
  <si>
    <t>Se realiza seguimiento a los avances y decisiones en la pertinencia para la adquisición de las herramientas tecnológicas identificadas y probadas por las áreas usuarias. La Subdirección de información y la dirección de Prospección, luego de evaluar los resultados de las pruebas, y la pertinencia y necesidad de adquirir la herramienta de Software OCR, toman la decisión de no adquirir la herramienta de reconocimiento de caracteres. En cambio, Las dos áreas, manifiestan su aprobación para adquirir la herramienta de software de Autodesk Architecture, Engineering Construction Collection la cual está compuesta por un conjunto de herramientas BIM integradas, utilizadas en el diseño asistido por computadora para dibujo 2D y modelado 3D dimensiones, que permite elaborar dibujos, gráficos o planos genéricos, documentar proyectos de ingeniería, arquitectura, mapas y modelamiento de planos. Al final el segundo trimestre, la oficina TIC, junto con las áreas usuarias y la secretaria general, avanzo en la estructuración de los estudios previos, análisis de mercado, solicitud de cotizaciones para la contratación de esta herramienta de software. A la fecha, se encuentra pendiente de aprobación por parte del comité de contratación</t>
  </si>
  <si>
    <t>No aplica, debido a que la meta prevista es cero. Sin embargo, valoramos el avance cualitativo reportado, toda vez que brinda un contexto del proceso para llegar a la meta prevista en el tercer y cuarto trimestre del año.</t>
  </si>
  <si>
    <t>1. 39 archivos en 9 carpetas
Documentos y correos evidencias de herramientas y pruebas https://drive.google.com/drive/folders/1k_l9Mb1872pw-92UPsrWtFXcHt5fYYED</t>
  </si>
  <si>
    <t>Se han realizado pruebas de varias herramientas de software con la subdirección de la gestión de la información específicamente con herramientas tecnológicas enfocadas a reconocimiento de caracteres que permitirán apoyar en los requerimientos y procesos que tengan que ver con el manejo, transformación y análisis de la información. estas pruebas aún se están ejecutando por el área usuaria y estamos en espera de los resultados</t>
  </si>
  <si>
    <t>Las evidencias de las actividades desarrolladas se encuentran publicadas en las siguientes carpetas del drive:
- Identificación del estado actual del Nivel de madurez de la OTIC: https://drive.google.com/drive/folders/1uWvHJlTj88RZGezzPpug_D6EfvNQBX6g
- Identificación del estado actual de Servicios Tecnológicos de la OTIC: https://drive.google.com/drive/folders/1-SVmhocAAi99PLKSTgVV-3Er-AxLrfVx
- Identificación del estdo actual  de Información: https://drive.google.com/drive/folders/1Q8DUTT0Ws4d_zh4Ni0GHGhODMmggsf3p
- Identificación del estado actual de Sistemas de Información: https://drive.google.com/drive/folders/1Sb35LJ8eW5cZbCmwTqit_nLvJuTugRJf
- Identificación del estado actual Estrategia de TI: https://drive.google.com/drive/folders/1XkPmsSqpcoQ7cZiz5PkeHBoqrkLPBXOq
- Identificación del estado actual Gobierno de TI:https://drive.google.com/drive/folders/1OaqPj69lAfQXWPsKzyqoP4AfJqc</t>
  </si>
  <si>
    <t>Se ha iniciado el desarrollo de las actividades orientadas a la creación del Plan estrategico de tecnologías de la Información. Las actividades desarrolladas incluyen las siguientes:
- Identificación del estado actual del Nivel de madurez de la OTIC
- Identificación del estado actual de Servicios Tecnológicos de la OTIC
- Identificación del estado actual de Información
- Identificación del estado actual de Sistemas de Información
- Identificación del estado actual Estrategia de TI
- Identificación del estado actual Gobierno de TI</t>
  </si>
  <si>
    <t>0 Fases del plan de implementación de TI ejecutadas</t>
  </si>
  <si>
    <t>0 Fases del plan de implementación TI ejecutadas</t>
  </si>
  <si>
    <t>Pese a que la meta se encuentra proyectada para el último trimestre, se sugiere culminar el proceso contractual antes de finalizar el 3er trimestre, de tal forma que se pueda iniciar la ejecución de la 1era fase del plan de implementación prevista en el indicador durante este periodo y terminarla antes de finalizar esta vigencia.
NOTA: Tenga presente que este indicador se encuentra asociado al Proyecto de Inversión BPIN 2018011000907 específicamente en el producto Sistema de información Misional. Por lo tanto, la información reportada en el Plan de Acción debe corresponder con el avance obtenido en este indicador y reportado mensualmente durante el seguimiento a proyectos de inversión en el SPI.</t>
  </si>
  <si>
    <t>Los documentos de evidencia se encuentran en proceso de construcción colaborativo entre las dependencias involucradas (OTI y Subdirección de Información para la búsqueda) 1. Plan de accion --&gt; 1. Vigencia 2019 --&gt; Estrategia y Gobierno de TI efectivo --&gt; Junio y se encuentran en el enlace 
https://drive.google.com/drive/folders/1vJ0Xh5ygcQMi4rMxJsLkS4tgQ9H5bBeV</t>
  </si>
  <si>
    <t>En el desarrollo de la etapa precontractual se han realizado las siguientes actividades:
1. Estudio de mercado
2. Definición de la ficha de especificaciones técnicas
3. Publicación del prepliego de condiciones
4. Respuestas a las observaciones del prepliego de condiciones
5. Publicación del pliego de condiciones definitivo
6. Respuestas a las observaciones del pliego de condiciones definitivo</t>
  </si>
  <si>
    <t>Aunque la meta prevista es cero para el primer periodo, se sugiere realizar la reformulación general del indicador: (nombre, unidad de medida y proyección de metas), de manera que se pueda reflejar el avance en la implementación de la primera fase del Plan de TI en términos porcentuales. Se sugiere como nombre: Plan de implementación del modelo de estrategia y gobierno de TI ejecutado y desagregar sus metas a partir de hitos. Para ello, es necesario solicitar la modificación tan pronto como la Oficina Asesora de Planeación indique las fechas para realizar ajustes al Plan de Acción.</t>
  </si>
  <si>
    <t>Los documentos de evidencia se encuentran en proceso de construcción colaborativo entre las dependencias involucradas (OTI y Subdirección de Información para la búsqueda) y se encuentran en el enlace https://drive.google.com/drive/folders/1yryMtxL_81d8r8mliLYWkl_5HVvrSCye</t>
  </si>
  <si>
    <t xml:space="preserve">Se encuentra en desarrollo la definición de las especificaciones técnicas del Modelo de Gestión Estratégíca de TI. 
El Modelo de Gestión estratégica de TI se definirá como un componente de la consultoría a realizar para el diseño del Sistema de Información Misional y el Modelo de Seguridad de la Información. 
Se ha establecido el mapa de ruta de las actividades a desarrollar para la ejecución del proceso contractual de la consultoría. </t>
  </si>
  <si>
    <t>Las evidencias de ejecución incluyen los siguientes elementos:
- Correos electrónicos
- Versiones de los documentos de definición de los procedimientos
- Aprobación de los procedimientos por parte de la Jefe de la OTIC
- Aprobación de la consultoría
Las rutas de ubicación de las evidencias en el drive son las siguientes:
Mes de Julio: https://drive.google.com/drive/folders/1xmjfNNYZiKVjsN9nKGPmQ-TXtrSz8p6O
Mes de Agosto: https://drive.google.com/drive/folders/1mt-40hQdscETX8TSij3uhRK9KIqjX0dO
Mes de septiembre: https://drive.google.com/drive/folders/1DvITSQcaQYU88QuB5X4lhwaxfcWf9lDL</t>
  </si>
  <si>
    <t>Se realizan en conjunto con la consultoría y los servidores de la OTIC los ciclos de revisión, ajuste y aprobación de 4 procedimientos:
- Aprovisionamiento de infraestructura
- Gestión de capacidad tecnológica
- Solicitudes de servicios de TI
- Políticas de seguridad</t>
  </si>
  <si>
    <t>4 Procedimientos de TI apoyados con buenas prácticas</t>
  </si>
  <si>
    <t>2 Procedimientos de TI apoyados con buenas prácticas</t>
  </si>
  <si>
    <t>100% de Procedimientos definidos aplican buenas prácticas</t>
  </si>
  <si>
    <t xml:space="preserve">Luego del ajuste de metas aprobado en comité de gestión, el indicador se encuentra en nivel óptimo de cumplimiento. En cuanto a los soportes enviados, se sugiere someter a aprobación los procedimientos elaborados e incluir el flujograma y demás documentos asociados de los procedimientos para el seguimiento del 3er trimestre 2019. </t>
  </si>
  <si>
    <t>Las evidencias asociadas al cumplimiento de la actividad se encuentran ubicadas en la carpeta compartida en drive: Unidades de equipo --&gt;Oficina TIC --&gt; 4.Calidad--&gt;Revisión consultoría --&gt; Gestión de servicios Tecnológicos--&gt; Procedimiento Gestión Cambios. Enlace https://drive.google.com/drive/folders/1ljiiOCG131l61FkZHuwA5E1Ivh0VQmpg y Oficina TIC --&gt; 4.Calidad--&gt;Revisión consultoría --&gt; Procedimiento EGTI, enlace https://drive.google.com/drive/folders/1rGZ5jhDGO2_UTZSZGlDxXQXOLDd2Qvea</t>
  </si>
  <si>
    <t>De acuerdo con la modificación de la estrategia, en coordinación con los líderes de las temáticas, se realizó la priorización de los procedimientos a caracterizar y que soportarán el desarrollo de la gestión de los servicios tecnológicos provistos por la Oficina de TI.
Las acciones realizadas para dar cumplimiento a la actividad incluyeron: 
- Identificación y priorización de los procedimientos a caracterizar (1.Gestión de cambios y 2. Estrategia y Gobierno de TI)
- Desarrollo de ciclo de revisión y validación de las propuestas de los 2 procedimientos programados para entregar en el corte de seguimiento.
- Revisión y ajuste de los procedimientos con la consultoría.</t>
  </si>
  <si>
    <t>Meta en nivel de cumplimiento crítico, debido a que la ejecución del periodo estuvo en 0% de lo programado. Sugerimos que la ejecución acumulada no realizada del 44,4% se concentre en el segundo trimestre 2019, para no generar un rezago general de la meta anual. Así mismo, para la construcción de los procedimientos de este indicador, deben apoyarse con la empresa consultora que está a cargo del diseño de los procesos y procedimientos de la UBPD.</t>
  </si>
  <si>
    <t>1. Procedimiento para la identificación y mantenimiento de servicios de TI, 
2. Procedimiento atención solicitud de servicios de TI, 
3. Procedimiento gestión de cambios. y 
4. Procedimiento Políticas de Seguridad.
Las evidencias asociadas al cumplimiento de la actividad se encuentran ubicadas en la carpeta compartida en drive: Unidades de equipo --&gt;Oficina TIC --&gt; 4.Calidad--&gt;Borradores --&gt; -Gestión de servicios Tecnológicos. Enlace https://drive.google.com/drive/folders/14kqjyhoHQ8YcEDmq2cQm3jSo3oSIEoDO</t>
  </si>
  <si>
    <t>En coordinación con los líderes de las temáticas, se realizó la identificación y priorización de los procedimientos a caracterizar y que soportarán el desarrollo de la gestión de los servicios tecnológicos provistos por la Oficina de TI.
Las acciones realizadas para dar cumplimiento a la actividad incluyeron: 
- Identificación y priorización de los procedimientos a caracterizar
- Desarrollo de ciclo de revisión y validación de las propuestas de los 4 procedimientos programados para entregar en el corte de seguimiento.
Se tiene un avance de aproximadamente el 50% en la creación de los siguientes procedimientos: 
1. Procedimiento para la identificación y mantenimiento de servicios de TI, 
2. Procedimiento atención solicitud de servicios de TI, 
3. Procedimiento gestión de cambios. y 
4. Procedimiento Políticas de Seguridad.</t>
  </si>
  <si>
    <t>0 Procedimientos de TI apoyados con buenas prácticas</t>
  </si>
  <si>
    <t>Informes de gestión y disponibilidad de los servicios por parte del proveedor.
- Libro de excel con el calculo del indicador de acuerdo con los datos entregados por el proveedor.
evidencias disponibles en: https://drive.google.com/open?id=1OdKnhdrtCU14qmAjYcQ2L85h9fFoa-V3</t>
  </si>
  <si>
    <t>Se presentó intermitencia y lentitud sobre el canal de ETB, el cual se reportó bajo el numero de caso SD1321216 lo que para el mes de Agosto queda el canal con una disponibilidad de 99,98%, al igual para el mes de septiembre se presentaron 2 casos de indisponibilidad registrados con los numeros SD1326675 y SD1334382 con los cuales se obtuvo una indisponibilidad de 6 Horas 57 minutos para una disponibilidad del servicio de 99,67%.
Los demas servicios tales como Gsuite y servicio de impresión no presentaron indisponibilidad por lo que el indicador general quedo en 99,89%.</t>
  </si>
  <si>
    <t>99,89% de los servicios de TI disponibles</t>
  </si>
  <si>
    <t>97% de los servicios de TI disponibles</t>
  </si>
  <si>
    <t>El Indicador se encuentra en cumplimiento (nivel óptimo). Se sugiere emplear algún mecanismo que mitigue el riesgo de no tener disponibilidad en los servicios de telecomunicaciones en la UBPD o a su vez contar con un plan B cuando se materialice.
NOTA: Tenga presente que este indicador se encuentra asociado al Proyecto de Inversión BPIN 2018011000898 específicamente en el producto Sedes adecuadas. Por lo tanto, la información reportada en el Plan de Acción debe corresponder con el avance obtenido en este indicador y reportado mensualmente durante el seguimiento a proyectos de inversión en el SPI.</t>
  </si>
  <si>
    <t xml:space="preserve"> - Informes de gestión y disponibilidad de los servicios por parte del proveedor.
- Libro de excel con el calculo del indicador de acuerdo con los datos entregados por el proveedor.
evidencias disponibles en: https://drive.google.com/drive/folders/1Ycmx7mhtuklQUUTc84cGHDc8PYcTkAYt</t>
  </si>
  <si>
    <t xml:space="preserve">Se presentan 2 incidencias de disponibilidad en el periodo, la primera corresponde al servicio del canal principal de internet por un periodo de 72 horas para una disponibilidad del 90 con numero de caso ETB SD1286150, el segundo caso corresponde al No SD1295518 sobre el canal de internet con una disponibilidad de 98.53 en el mes de mayo , lo que impactó la diponibilidad en el trimestre, para 98,85%. Para los demás servicios no presentaron fallas o incidencias sobre su disponibilidad. </t>
  </si>
  <si>
    <t>98,85% de los servicios de TI disponibles</t>
  </si>
  <si>
    <t>El indicador se encuentra en cumplimiento (nivel óptimo) de acuerdo con la disponibilidad de TI planteada. Los soportes guardan coherencia con lo reportado.</t>
  </si>
  <si>
    <t>1. Informes de gestión y disponibilidad de los servicios por parte del proveedor.
2. Libro de Excel con el cálculo del indicador de acuerdo con los datos entregados por el proveedor.
Evidencias disponibles en: https://drive.google.com/drive/folders/1CcjGEJzdAwkiise1RDKaNliH2E4erS4L</t>
  </si>
  <si>
    <t>Se presentan 2 incidencias de disponibilidad en el periodo, el primero corresponde a servicio de impresión por un periodo de 6 horas para una disponibilidad del 99,16% con numero de caso ETB SD1266156 y el otro caso corresponde al servicio de internet el cual se afectó por un periodo de 8 horas lo que impactó la disponibilidad en un 98,88%, para los demás servicios no se presentaron fallas o incidencias sobre su disponibilidad.</t>
  </si>
  <si>
    <t>99,78% de los servicios de TI disponibles</t>
  </si>
  <si>
    <t>Orden Compra 37853 Gsuite.pdf - Aseguramiento correo electrónico.
https://drive.google.com/open?id=16l_SrdeypKNiqvGtwKgLjEEwOgksLLtC
-Cronograma Aseguramiento Gsuite.pdf (Correo Electrónico).
https://drive.google.com/open?id=13KJyqDCPbqA_6nYR7jacaYyg9ySDS9gl
- Contrato No 067-2019 ETB.pdf - Aseguramiento canales de comunicaciones.
https://drive.google.com/open?id=1_3mdVCMDmPS1FwN4suj1tBpMBl3ZKu2A
- Cronograma Estrategia Implementar SEDES (Servicios tecnológicos).pdf
https://drive.google.com/open?id=13TChh5N-4L5_VSwLjn5XGBVrbr1B_qgD
- Captura licenciamiento Microsoft.
https://drive.google.com/open?id=12s1QiHrhv3WSi6cR9vWB7qYbvEQcvZvs
https://drive.google.com/open?id=13Y42FplYKhB40oZQE4mX4MM2EDMrtAmx</t>
  </si>
  <si>
    <t>Se realiza la contratación del aseguramiento de la plataforma Gsuite incluido el correo electrónico, donde se han realizado configuraciones propias de la herramienta a fin de mitigar posibles riesgos de seguridad.
- Se realizó la contratación de Canales de comunicaciones de las sedes territoriales donde se incluyó los servicios de seguridad centralizada, a la fecha de este reporte se está iniciando con el despliegue de dichos canales en la medida de entrega de sedes territoriales.
- Se consolida las licencias Microsoft en los portales destinados para el fin, donde se realiza suscripción de la entidad con la cuenta coadmin@ubpdbusquedadesaparecidos.co y donde se seguirán incluyendo todas las licencias asociadas a la UBPD.
 - Se elaborá el plan de seguridad para 2019 teniendo en cuenta el marco de referencia establecido.
El documento se puede consultar en:
https://drive.google.com/open?id=18IX4AngTpnnJ-M1CX3LAl5HQmUDMGHLy</t>
  </si>
  <si>
    <t>3 Activos de información asegurados</t>
  </si>
  <si>
    <t>El indicador se encuentra en cumplimiento (nivel óptimo) de acuerdo con los activos planteados. Los soportes guardan coherencia con lo reportado. Se sugiere tener presente que los próximos activos a asegurar son: 6. Correo Electronico, 7. Canales de comunicaciones y 8. Licenciamiento</t>
  </si>
  <si>
    <t>Orden de Compra 37853 - Diagnóstico de seguridad de la plataforma GSUITE
https://drive.google.com/drive/folders/15u4IC6uwNWQC1kvjYm7oVTBD43TxtlYK
Captura Perfiles configurados en Mesa de servicio:
https://drive.google.com/drive/folders/15u4IC6uwNWQC1kvjYm7oVTBD43TxtlYK</t>
  </si>
  <si>
    <t>Se realiza configuración y puesta en marcha de los perfiles en la herramienta de mesa de servicio, donde se configurar los permisos para los tecnicos y coordinador de la mesa de servicio.
Se realiza la contratación del aseguramiento de la plataforma GSuite incluido Drive y correo electrónico a través de la Orden de Compra 37853.
Se realiza configuración de reglas iniciales para el aseguramiento de la navegación web en la Entidad.</t>
  </si>
  <si>
    <t>El indicador se encuentra en cumplimiento (nivel óptimo) de acuerdo con los activos planteados. Los soportes guardan coherencia con lo reportado.</t>
  </si>
  <si>
    <t>1. Diagrama de la solución entregado por el proveedor ETB, donde se describe la seguridad de los activos asegurados.
2. Informe de implementación de seguridad centralizada para la UBPD por parte de ETB.
Evidencias disponibles en: https://drive.google.com/drive/folders/1JMDBlEWq3GxFlw6L7hiE_0kGKcH4JF_P</t>
  </si>
  <si>
    <t>Se realiza aseguramiento de servidores virtuales (que soportan los servicios de controlador de dominio e impresión) contratados con el proveedor ETB a través de la seguridad centralizada en la cual se considera servicio de Firewall, así mismo se contrata para estos activos el servicio de respaldo en datacenter alterno.</t>
  </si>
  <si>
    <t>2 Activos de información asegurados</t>
  </si>
  <si>
    <t>Captura de Reporte generado desde la consola de administración g-suite.
Archivo de excel con el analisis del reporte generado por g-suite.
Evidencias disponibles en:
https://drive.google.com/open?id=1uBwnYZlzLqOI5tZb3Sp8c1OyTHXwIyeL</t>
  </si>
  <si>
    <t>Se genera informe de uso desde la consola de administración de la plataforma de herramientas colaborativas g-suite para los usuarios activos para el tercer trimeste, la cual se analiza de acuerdo al uso en almacenamiento de los usuarios en el Drive, así como la creación o edición de documentos Google y hojas de calculo., se puede evidenciar que el indicador se mantiene por el mismo porcentaje de utilización de las herramientas colaborativas y el indicador continua subestimado.</t>
  </si>
  <si>
    <t>El 81,49% de los servidores públicos hacen uso de las herramientas colaborativas</t>
  </si>
  <si>
    <t xml:space="preserve">A pesar de haber ajustado la meta como se sugirió en la retroalimentación del 1er trimestre, el indicador continua subestimado para el 2do trimestre un 17,1% por encima de lo proyectado en el incremento aprobado por el comité de gestión. </t>
  </si>
  <si>
    <t>Captura de Reporte generado desde la consola de administración g-suite.
Archivo de excel con el analisis del reporte generado por g-suite.
Evidencias disponibles en :https://drive.google.com/drive/folders/10mDi4Lk0gFVV566Wx-zYeVbhumI5ak1y</t>
  </si>
  <si>
    <t>Se genera informe de uso desde la consola de administración de la plataforma de herramientas colaborativas g-suite para los usuarios activos al segundo trimeste, la cual se analiza de acuerdo al uso en almacenamiento de los usuarios en el Drive, así como la creación o edición de documentos Google y hojas de calculo.</t>
  </si>
  <si>
    <t>El 81,97% de los servidores públicos hacen uso de las herramientas colaborativas</t>
  </si>
  <si>
    <t>Se debe reformular la meta del indicador, ya que se encuentra subestimada como lo evidencia el reporte de este periodo, sobrepasando la proyección en un 57%. Sugerimos solicitar la modificación tan pronto como la Oficina Asesora de Planeación indique las fechas para realizar ajustes al Plan de Acción. Se sugiere evaluar la pertinencia de medir el uso del correo, ya que es una herramienta de obligatorio uso y, por tanto, no necesariamente atribuible a acciones de la OTIC.</t>
  </si>
  <si>
    <t>1. Captura de Reporte generado desde la consola de administración g-suite.
2. Archivo de Excel con el análisis del reporte generado por g-suite.
Evidencias disponibles en : https://drive.google.com/drive/folders/1J9HftYd_tTKc811ciuhP-sv2_uSYF86d</t>
  </si>
  <si>
    <t>Se genera reporte de uso desde la consola de administración de la plataforma de herramientas colaborativas g-suite, la cual se analiza de acuerdo al uso en almacenamiento de los usuarios en el Drive, así como la creación o edición de documentos google.</t>
  </si>
  <si>
    <t>78,57% de servidores de la Unidad utilizaron herramientas colaborativas</t>
  </si>
  <si>
    <t>1. Comunicación y pedagogía
* Conversatorio sobre sensibilización y pedagogía: agenda y listados de asistencia. Las memorias del evento y una síntesis de ideas prácticas susceptibles de implementar en acciones de sensibilización será entregado en el informe del cuarto trimestre.
* Investigación sobre niñez y pedagogía: documento; apoyo en la estructuración y diseño del taller para niños de la UBPD; fotografías.
* Aporte metodológico de construcción de saberes: documento comentado y propuesta apoyo OGC e informes preliminares de Sincelejo, Puerto Asís, San José de Apartado y Villavicencio.
* Conversatorio con los autores del libro: Cartografía de la Desaparición Forzada en Colombia: listado de asistencia.
2. Insumos política de cuidado
* Comunicación para la paz: productos finalizados con sus anexos y el listado de asistencia de la reunión con su correspondiente acta.
* Estrategia de cuidado: documento con las comunicaciones que evidencian el soporte de la OGC.
3. Centro de documentación: listado de libros y material y el reporte de préstamo.
* Insumo de retroalimentación sobre la realización de estudios de confiabilidad: comunicación de envío. El documento, por ahora, está reservado.
4. Glosario básico: correo donde se remite el glosario a la Directora General y el documento de preguntas y respuestas frecuentes.
5. Intercambio de saberes al interior de la UBPD: se adjuntan listados de asistencias e invitaciones de las cuatro sesiones.
6. Intercambios en ejecución
* Con la FAFG:
• Cuatro talleres con sociedad civil: listados de asistencia a todos los talleres y las agendas llevadas a cabo.
• Dos mesas técnicas con equipos misionales: listados de asistencia y propuestas de metodología, memoria final (julio) y borrador (agosto). 
• Visita de la UBPD a Guatemala: actas de reuniones y listados de asistencia.
* Con la Fundación Centro Carter y Elementa: actas de reuniones, listados de asistencia y documentos parciales sobre estructura de reporte y diseño de taller.
* ICMP: actas de reuniones y listados de asistencia, documentos con las propuestas de temario y pedagogica, cadena de valor misional y la ficha de indicadores de gestión.
7. Diseño y construcción de contenidos de capacitación: parrilla, fichas de los cursos y de las capacitaciones territoriales.
8. Dialogos circulares: listados de asistencia. Una memoria de cada encuentro será anexada en el informe del cuarto trimestre.</t>
  </si>
  <si>
    <t>1. Comunicación y pedagogía:
* Conversatorio de sensibilización y pedagogía para personas de la UBPD, sobre búsqueda de personas reclutadas en el marco y razón del conflicto armado, dadas por desaparecidas. Se contó con la participación de invitadas/os de la Coalición contra la Vinculación de Niños y Niñas al Conflicto Armado, una joven reclutada actualmente en proceso de reintegración y Fernando González, experto pedagogo, artista, defensor de DDHH y maestro universitario. Los objetivos de la jornada fueron: 1) Conocer las estrategias de organismos no gubernamentales para sensibilizar a la sociedad sobre la problemática del reclutamiento de NNA; 2) Intercambiar sobre posibles estrategias y retos de la sensibilización y pedagogía orientadas a la búsqueda de personas reclutadas dadas por desaparecidas, en el contexto colombiano.
* Investigación sobre niñez y pedagogía: Se elaboró un documento para recoger la información analizada sobre las prácticas pedagógicas y didácticas utilizadas para la socialización de violaciones a los DDHH con NNA en contextos de violencia. Busca contribuir a la formulación de estrategias pedagógicas por parte de la OACP, atendiendo al numeral 4 del artículo 6 “Funciones de la Oficina de Gestión del Conocimiento”, del Decreto 1393 de 2018.
Adicionalmente, se dio el apoyo en la estructuración y diseño del taller para niños de la UBPD.
* Aporte metodológico a la OACP para la construcción de saberes: apoyo en el diseño de la fase II de círculo de saberes. Acompañamiento a las reuniones con la comunidad en Puerto Asís, Sincelejo, Montería, Apartadó, San José de Apartadó y Villavicencio.
* Conversatorio con los autores del libro “Cartografía de la Desaparición Forzada en Colombia. Relato (siempre) incompleto de lo invisibilizado”. El 6 de septiembre se realizó el conversatorio con los autores del libro, con asistencia de 45 personas y 33 conectadas vía Meet. 
2. Insumos política de cuidado:
* Comunicación para la paz: están finalizados todos los módulos del manual. En el periodo que se reporta, se culminó el módulo 3 (producto 5) y el informe final (producto 6) que contiene detalles sobre la participación de los equipos directivos y el de expertos/apoyo, y los avances y desafíos para la UBPD en términos de apropiar esta metodología para el relacionamiento de los servidore/as y la resolución de diferencias y conflictos, como un elemento distintivo del carácter humanitario de la entidad en su ámbito interno. 
En el marco de apropiación y divulgación del conocimiento se acompañó el taller inductivo de Comunicación para la Paz con el equipo de Prospección, Recuperación e Identificación a solicitud de personas que participaron en el entrenamiento realizado por las consultoras; allí se realizaron ejercicios para ilustrar la metodología y se explicaron los conceptos básicos. Posteriormente, se hizo una reunión de evaluación con el mismo equipo.
* Estrategias de cuidado y autocuidado: Se comentaron 10 microrrelatos que contienen tramos de la historia de vida de personas que hacen parte de los equipos misionales y Oficinas Asesoras de la UBPD, cuyo propósito es concientizar al conjunto de servidores/as sobre la necesidad de adoptar y sostener prácticas de autocuidado para balancear la vida personal y la profesional-laboral. 
* Se apoyó en la estructuración de contenidos del curso virtual en lo referente al cuidado riesgos y prevención. Se apoyó el contenido estructural de la APP para la estrategia de cuidado. * Se discutió con la SGH y el consultor la estrategia de apropiación del conocimiento. Se comentó el documento.
* Política de seguridad: Insumo de retroalimentación sobre la realización de estudios de confiabilidad: derivado de la participación de la OGC, Gestión Humana y Federico Andreu en los estudios de confiabilidad del personal ingresado entre abril y mayo de 2019, principalmente a integrar los equipos territoriales, y como preparación para el proceso de contratación del personal que los fortalecerá y se llevará a cabo hasta noviembre de 2019, la OGC presentó un documento que sintetiza sus principales observaciones. Y a través del cual se hacen recomendaciones de índole metodológico y procedimental .
3. Centro de documentación: En el tercer trimestre se recibieron 41 registros físicos y se sistematizaron 48 piezas audiovisuales para un total de 260 registros físicos que conforman el Centro Documental hasta el 30/09/19. Se realizaron cuatro préstamos y se recibieron tres devoluciones de material prestado. Se dio inicio a la elaboración de las fichas descriptivas del material disponible para consulta.
4. Glosario básico en validación. Con el enfoque de tener claridad sobre conceptos básicos de la UBPD, se recibió una solicitud de apoyo para las preguntas y respuestas que deben estar en la página web. En coordinación con la OAJ, se apoyó a la SAF en la elaboración del documento “preguntas y respuestas frecuentes”, para lo cual se tuvo como insumo el glosario básico para validación, en el que se avanzó en una versión final para revisión de la Dirección General, como se reportó en el período anterior. 
5. Intercambio de saberes al interior de la UBPD. Desde agosto de 2019 la OGC ha propiciado espacios periódicos de intercambio de experiencias, bajo el nombre de "ESCUCHÉMONOS. Tu historia contribuye a la búsqueda", espacios que buscan desarrollar conversaciones entre expertos de la UBPD que cuentan sus experiencias relacionadas con la búsqueda y los demás servidores. Se han realizado cuatro encuentros: i. Los Caninos en la Búsqueda. Fergie una perrita que busca desaparecidos, por Karen Quintero (01/08); ii. Saberes Ancestrales y Recuperación en Bojayá, por Rosa Agudelo y Javier Ayala (22/08); iii. Análisis espacial y modelamiento predictivo, por Ana Carolina Guatame (12/09) y iv. La ausencia de evidencia no es evidencia de ausencia: la importancia de interpretar lo que nos cuentan los cadáveres, por César Sanabria (26/09).
6. Intercambios en ejecución:
a. Con la Fundación de Antropología Forense (FAFG), con el desarrollo de cuatro talleres con la sociedad civil, y dos mesas técnicas con personal de los tres equipos misionales.
• Talleres con sociedad civil: La OGC hizo seguimiento y participó, junto a integrantes de equipos territoriales, en los talleres que la FAFG hizo en Cali, Barrancabermeja, Medellín y Villavicencio. La mayor parte de la sociedad civil participante pertenece a organizaciones conformadas por familiares de víctimas de desaparición forzada, pero también familiares independientes y excombatientes de las FARC-EP. El propósito de los talleres era socializar la experiencia de búsqueda de personas desaparecidas en Guatemala, haciendo uso de las ciencias forenses. Con el apoyo de la UBPD se da divulgación a cómo hace la búsqueda la Unidad y se afianza el relacionamiento con las organizaciones en el territorio.
• Mesas técnicas con equipos misionales: en las mesas técnicas de julio y agosto delegaciones de los equipos misionales recibieron capacitación en temas de identificación genética y forense, se discutieron casos y presentaron a la FAFG la metodología de fortalecimiento a familias y personas que buscan. 
• Visita de la UBPD a Guatemala: Se apoyó la coordinación de una visita de 6 personas delegadas de la UBPD, en compañía de personas de la FGN y del INMLCF a Guatemala con el propósito de conocer el enfoque multidisciplinario de la FAFG para la búsqueda de personas desaparecidas, y profundizar en el proceso de identificación, las metodologías de comunicación con familiares para la recolección de información, la búsqueda, y la investigación desde una perspectiva de antropología, arqueología y genética forense. Se buscaron escenarios de articulación con estas entidades. La coordinación incluyó la definición temática, la elaboración de formatos para el registro de la visita y reuniones de coordinación interna y externa. 
b. Fundación Centro Carter y su asociada en Colombia, Elementa. Se trabajó en la elaboración temática de la investigación, se definieron los países en los que se iba a trabajar y un plan de trabajo. Se sostuvo dos reuniones en las que se comentaron los detalles de la base de datos en la que está registrada la bibliografía y fuentes identificadas para el informe investigativo, así como la estructura del informe y del taller de presentación. Adicionalmente, la UBPD ha facilitado contactos internos y externos a Elementa para la ampliación de su base informativa en el caso peruano. 
c. ICMP: Se trabajó con los equipos misionales en la definición de la propuesta de formación y capacitación con ICMP; se sostuvo dos reuniones a) de estudio de la segunda propuesta de ICMP y de definición de una contrapropuesta, y b) para estudiar y responder la respuesta de ICMP a la contrapropuesta. En el segundo tema se trabajó con el equipo designado por la Dirección General con asistencia de la Directora en la definición de la temática sobre repositorios y lugares de disposición de cuerpos. Se dio respuesta a las observaciones de ICMP y se llegó a un acuerdo definitivo en este tema.
7. Diseño y construcción de contenidos de capacitación. Durante el tercer trimestre la Oficina de Gestión del Conocimiento realizó la estructuración de la parrilla de capacitaciones del nivel central y territorial, a partir de las necesidades misionales de la UBPD y de directrices de la Dirección general en cuanto a líneas de enfoque, la cual se desarrollará durante el último trimestre del 2019, se socializo su contenido con cada una de las áreas y equipos de trabajo de la UBPD. Se revisaron las fichas con los contenidos propuestos por cada uno de los cursos y se realizaron reuniones de coordinación con el IEPRI- UNAL.
Es importante tener en cuenta que la OGC trabaja los contenidos, pero no es responsable de realizar, sino solo apoyar, las inducciones. Estos procesos no se hacen todos los meses sino en determinadas fechas; aunque estaba programado para septiembre, por temas de contratación no se realizó en el período. Entre tanto, la Subdirección de Gestión Humana hizo inducciones cortas a las personas que ingresaron .
8. Diálogos circulares:
* Con todo el equipo de la Secretaría General, Subdirección Administrativa y Financiera, y Subdirección de Gestión Humana: a petición de la Directora General, la OGC -con el apoyo de un contratista que contribuye al diseño metodológico y preparación de las jornadas de inducción y algunos temas de capacitación- diseñó la metodología, dispuso las condiciones materiales y contribuyó a facilitar este espacio de conversación.
* Entre la Directora General con el equipo de Prospección, Recuperación e Identificación: a petición de la Directora General, la OGC facilitó la metodología y condiciones materiales para que este diálogo tuviera lugar.</t>
  </si>
  <si>
    <t>23,5% de las herramientas para la creación, el flujo, la apropiación y el uso del conocimiento en la UBPD, implementado</t>
  </si>
  <si>
    <r>
      <rPr>
        <b/>
        <sz val="9"/>
        <rFont val="Arial Narrow"/>
        <family val="2"/>
      </rPr>
      <t xml:space="preserve">18.07.2019. </t>
    </r>
    <r>
      <rPr>
        <sz val="9"/>
        <rFont val="Arial Narrow"/>
        <family val="2"/>
      </rPr>
      <t>Los avances indicados corresponden con los hitos que componen y los soportes guardan coherencia con la meta y con la información cualitativa remitida. El indicador se encuentra en nivel de cumplimiento acumulado óptimo. Revisar si lo señalado en rojo sobra o es un subtítulo o frase que quedó cortada.
En los soportes, la carpeta del componente "Insumos de comunicación y pedagogía" tiene dos documentos, pero uno de ellos, el acta del 12 de junio, no está relacionado en la casilla ni mencionado en los avances cualitativos. Lo mismo ocurre con el acta de la reunión sostenida con la asesora de Cooperación y Alianzas, Natalia Hernández, que no está mencionada pero sí incluida en los soportes recibidos.</t>
    </r>
  </si>
  <si>
    <t>• Ontología y glosario básico: 
1 documento Word con el glosario para revisión.
2 documentos (Word y Excel) con el listado de términos iniciales.
Correo a la Directora General.
 • Memoria institucional:
1 documento Word con el avance de la memoria institucional.
Línea de tiempo.
 • Diseño y construcción de insumos de capacitación: 
Parrilla de capacitación.
Informes de capacitación.
• Insumos de comunicación y pedagogía: 
1 documento con las notas del conversatorio.
•Promoción e intercambio de conocimiento.
- Centro Carter: actas de reunión.
- ICMP: Actas de reunión.
- Fundación de antropología Forense de Guatemala:Actas de reunión y listado de asistencia.
- GIZ:Propuesta.
Actas de reunión.
- JRR: Actas de reunión.
- Universidad Nacional de Colombia: Actas de reunión y coordinación.
 • Insumos política de cuidado:Actas de reunión.</t>
  </si>
  <si>
    <t>Frente a las herramientas y acciones de gestión de conocimiento se avanzaron las siguientes actividades tenía programadas para el segundo trimestre del año 2019:
• Ontología y glosario básico: con participación de asesores de la Dirección General y de la Subdirección Técnica y Territorial y de delegados de las áreas misionales y estratégicas de la UBPD, se construyó un glosario básico de 23 términos con el objetivo de ser publicado en la página web. Este listado de términos y sus definiciones fue remitido a la Directora General para su revisión y aprobación.
• Memoria institucional: se realizó un documento de avance de la memoria institucional que registra los principales hitos de los avances institucionales en 2018. Se realizó una línea de tiempo para documentarlos.
• Diseño y construcción de insumos de capacitación: La OGC apoyó con el diseño metodológico, instrumentos y piloto para las jornadas de inducción central y territorial realizadas en abril y mayo respectivamente. Frente al Plan de Capacitación se construyó la parrilla que contiene los cursos y ejes temáticos a realizar en 2019.
• Insumos de comunicación y pedagogía: El 9 de abril se realizó el primer conversatorio sobre herramientas y metodologías de comunicación y pedagogía con énfasis en desaparición forzada. Se tuvo la participación de Pilar Navarrete (familiar de víctima de desaparición forzada), Carolina Satizábal (fotógrafa que trabaja el tema) y Fernando González (pedagogo). El taller iba dirigido a la Oficina de Comunicaciones y pedagogía y a la DT de participación contacto con víctimas y enfoque diferenciales.
 • Promoción e intercambio de conocimiento
- Centro Carter: Se concretó la propuesta de apoyo tecnológico. Se realizaron reuniones de coordinación. 
propuesta técnica
 - ICMP: reuniones de coordinación para la estructuración y definición de la propuesta técnica en las tres formas de intercambio: formación y capacitación, repositorios y trabajo con sociedad civil. Se hizo un seminario de presentación del trabajo de mapeo de sociedad civil que realizó ICMP en coordinación con GIZ.
- Fundación de Antropología Forense de Guatemala: Se hicieron reuniones de coordinación para estructurar el intercambio. Se realizó la segunda mea técnica en Bogotá sobre clínica de casos.
- GIZ: Se envió la propuesta para la realización del plan estratégico de capacitación. Se hicieron reuniones técnicas para estructurar el apoyo y la capacitación y formación. 
- JRR: Se hicieron reuniones de coordinación para estructurar la propuesta. Se definieron temáticas con identificación de necesidades
- Universidad Nacional de Colombia: Se avanzaron reuniones de coordinación entre la Universidad Nacional para un trabajo conjunto con los laboratorios de Antropología Forense y Genética y el uso del Centro Marengo para prácticas. Se coordinó la práctica. 
Se le pasó a la Universidad las necesidades de solicitud de prácticas de pasantes.
Se realizó una reunión de coordinación con el Observatorio de Conflicto y Paz de la UNAL para temas de capacitación y temas de información. 
• Insumos política de cuidado:
-Se avanzó en la lectura y se hicieron comentarios a los productos resultado de la consultoría de la comunicación para la paz, específicamente sobre el diagnóstico de flujos de comunicación y los tres módulos de la cartilla “Sembrando una cultura humanitaria al interior de la UBPD”.
-Se hicieron reuniones de retroalimentación de la estrategia de autocuidado emocional y de la participación en la propuesta de estrategias de cuidado y del curso virtual. 
-Se hicieron reuniones de coordinación y estructuración metodológica del entendimiento del cuidado con el objetivo de definir una política para la UBPD. 
-Se hicieron reuniones de coordinación entre las tres consultorías: de cuidado emocional, de comunicación para la paz y de seguridad, en la UBPD. 
-Se participó en el seminario de construcción de diagnóstico del tema de seguridad.</t>
  </si>
  <si>
    <t>27,5% de las herramientas para la creación, el flujo, la apropiación y el uso del conocimiento en la UBPD, implementado</t>
  </si>
  <si>
    <t>De acuerdo con correo del 22/04/19 y en concordancia con anexos adicionales que dan cuenta de gestión no reflejada en la formulación de este u otros indicadores del área, se hace necesario programar reunión para establecer modificaciones pertinentes al plan de acción. Así mismo, debemos revisar la concordancia de los entregables de cada hito con los documentos de avance suministrados.</t>
  </si>
  <si>
    <t>Se anexan los siguientes documentos:
1. Protocolo de manejo del Centro documental
2. Listado de documentos disponibles
3. Nota de divulgación en el boletín institucional "somos UBPD No.6"
Adicionalmente, se anexan los siguientes seis documentos:
1. Documento con la metodología para la construcción de la memoria institucional.
2. Informe de avance del Plan Institucional de Capacitación
3. Plan de trabajo de la construcción del glosario institucional y ontología conceptual de la UBPD.
4. Informe de promoción del conocimiento al interior de la UBPD
5. Dos documentos de comunicación y pedagogía</t>
  </si>
  <si>
    <t>De acuerdo a la planeación de la Oficina de Gestión de Conocimiento para el desarrollo de las cinco herramientas propuestas en el Plan de Acción, al primer trimestre de 2019 se presenta el protocolo y puesta en marcha del Centro documental. 
Adicionalmente, en herramientas para la gestión del conocimiento se ha venido trabajando en los siguientes temas:
1. Memoria institucional.
2. Plan Institucional de Capacitación
3. Construcción del glosario institucional y ontología conceptual de la UBPD.
4. Promoción del conocimiento al interior de la UBPD
5. Estrategias de comunicación y pedagogía</t>
  </si>
  <si>
    <t>12,5% de las herramientas para la creación, el flujo, la apropiación y el uso del conocimiento en la UBPD, implementado</t>
  </si>
  <si>
    <t>Se adjunta el primer documento soporte: posición inicial y conceptos.
El documento de cultura se entregó a la Directora General para su visto bueno y su divulgación depende de su aprobación. 
El documento de mapeo, flujos y obstáculos se adjunta los listados de asistencia de las sesiones de levantamiento de información y la matriz inicial de recolección. El análisis de la misma se entregará a finales de octubre con un documento resumen de la situación de diagnóstico completa.</t>
  </si>
  <si>
    <t>Este indicador se mide a través de dos documentos: en el primero de ellos está el diagnóstico del proceso de creación, circulación, uso y apropiación del conocimiento en la Unidad de Búsqueda. Este es un documento grande que se compone de varios documentos, que en su versión final serán capítulos, que dan cuenta del nivel actual de la gestión del conocimiento y los obstáculos que se enfrentan en la UBPD con miras a definir la estrategia a aplicar en la materia: a) Un documento que se denomina de posición inicial que caracteriza a la oficina de gestión de conocimiento e incluye definiciones sobre conceptos claves para trabajar la estrategia posteriormente,  b) un documento que hace una caracterización de la cultura organizacional como base para la gestión del conocimiento al interior de la UBPD y c) el mapeo de flujos actores y procesos relevantes de la gestión de conocimiento y la identificación de obstáculos, riesgos y saberes que aportan a la labor de la Unidad de búsqueda. En esta parte se avanzó en los dos primeros documentos el último se atrasó debido a las agendas de los servidores de la Unidad que aportan la información base. Con base en estos documentos se hace el reporte cuantitativo del presente período.
El segundo es el documento que con estos insumos desarrollará la OGC y contiene la estrategia de gestión del conocimiento, se entregará en diciembre.</t>
  </si>
  <si>
    <t>1 soluciones a obstáculos y riesgos de gestión de conocimiento identificados</t>
  </si>
  <si>
    <r>
      <rPr>
        <b/>
        <sz val="9"/>
        <rFont val="Arial Narrow"/>
        <family val="2"/>
      </rPr>
      <t xml:space="preserve">18.07.2109. </t>
    </r>
    <r>
      <rPr>
        <sz val="9"/>
        <rFont val="Arial Narrow"/>
        <family val="2"/>
      </rPr>
      <t>Si bien no se programó avance cuantitativo para el periodo, es importante seguir haciendo el reporte cualitativo, pues permite entender cómo se encaminan las acciones para posteriores avances numéricos.
Como se ha conversado con la OGC, sería importante detallar la descripción del indicador para que sea más claro qué es lo que se considerará una solución, con base en qué diagnóstico y, así, comprender mejor en qué momento y con qué base se dará el avance cuantitativo. Otra opción es modificar el indicador para que mida el número de "documentos de diagnóstico sobre obstáculos y riesgos de gestión de conocimiento" que se hagan en el año.
Con respecto a los soportes, se entregó la carpeta "Estrategia de gestión del conocimiento", que no se menciona en los avances cualitativos ni el cuadro de evidencias. Es importante agregar la información para que se sepa con claridad a qué corresponde.</t>
    </r>
  </si>
  <si>
    <t>1. Documentación del contrato y estudios previos.
2. Plan de trabajo.
3. Actas de reunión</t>
  </si>
  <si>
    <t>En el desarrollo de este indicador no se requiere hace reporte; sin embargo, hay avances en los siguientes aspectos:
1. Se contrató a un asesor en gestión de conocimiento quien apoya a la Oficina en el levantamiento de información para el mapeo de la gestión del conocimiento para la construcción de la estrategia. 
Se acordó el plan de trabajo y el contrato está en ejecución.</t>
  </si>
  <si>
    <t>0 soluciones a obstáculos y riesgos de gestión de conocimiento identificados</t>
  </si>
  <si>
    <t>No aplica, debido a que la meta prevista es cero. Para el siguiente periodo de reporte se sugiere incluir avance cualitativo con las acciones que se desarrollen frente al tema, para comprender el flujo para el posterior reporte cuantitativo.</t>
  </si>
  <si>
    <t>HITO 1: Estado del arte sobre la desaparición de personas en contextos de conflictos armados y violencia sociopolítica
HITO 2: Dinámicas y lógicas de las violaciones a los derechos humanos asociadas a la desaparición de personas en el contexto y en razón del conflicto armado en Colombia.
HITO 3: Metodologías de los procesos de búsqueda de las personas desaparecidas en contextos de violencia sociopolítica a nivel internacional
HITO 5: Apoyos puntuales: Documento con la propuesta de apoyo en la caracterización de los ejercicios de diálogos, acciones de asesoría, orientación y fortalecimiento de familias y personas allegadas, por parte del equipo de Participación.</t>
  </si>
  <si>
    <t>HITO 1: Estado del arte sobre la desaparición de personas en contextos de conflictos armados y violencia sociopolítica: Se realizó un informe que da cuenta del avance documental en la recolección, organización y categorización de la información y de los principales debates encontrados en la literatura académica y no académica revisada. 
HITO 2: Dinámicas y lógicas de las violaciones a los DDHH asociadas a la desaparición de personas en el contexto y en razón del conflicto armado en Colombia: se avanzó en la redacción de un documento que constituye la mirada preliminar de las dinámicas territoriales y temporales de la desaparición de personas a partir del análisis de fuentes tanto cuantitativas como cualitativas. 
HITO 3: Metodologías de los procesos de búsqueda de las personas desaparecidas en contextos de violencia sociopolítica a nivel internacional: se elaboró un  primer documento con la definición de las experiencias internacionales a documentar y la razón de ser de esta elección. 
HITO 5: Apoyos puntuales:
A la Dirección de Participación: Apoyo en la caracterización de los ejercicios de diálogos, acciones de asesoría, orientación y fortalecimiento de familias y personas allegadas, por parte del equipo de participación. Hasta el momento se tiene construido un instrumento que opera como hoja de ruta para el apoyo de la OGC y seguimiento por parte de la Dirección de Participación.</t>
  </si>
  <si>
    <t>24% de ejecución del plan de estudios e investigaciones</t>
  </si>
  <si>
    <t>18.07.2109. Se avanzó en lo previsto como el grueso del 7% para el periodo, tras la modificación del indicador. Este 7%, según lo previsto, corresponde a la "Metodología del estado del arte". Sin embargo, se evidencia una fuerte dedicación a otro de los cinco componentes del indicador (ver siguiente pestaña), que son los apoyos puntuales que fueron solicitados o coordinados con otras oficinas, en particular con la Dirección General. En la ponderación de la meta (y con el ajuste recientemente solicitado) estos estarían mayormente concentrados en el tercer trimestre del año. Sería importante establecer si se trata de una victoria temprana y revisar también el peso del componente en la medición del indicador, pues actualmente es el segundo más bajo (10%), pero ha sido, según se entiende, el que ha significado mayor volumen de trabajo según lo mencionado en el avance cualitativo como apoyos a otras áreas. Así mismo, sería importante revisar qué tipo de apoyos pueden pedir las áreas que puedan ser considerados como parte del indicador o de la labor de la OGC.
En cuanto a los soportes, se tienen los siguientes comentarios:
* Se menciona el "documento con la ponencia “la UBPD como fundamento de una acción colectiva en la construcción de paz”Programación y afiche publicitario del seminario Formemos Memoria “conversaciones y manifestaciones artísticas como estrategia de reparación simbólica y no repetición”. Sin embargo, los soportes corresponde al afiche y la agenda del evento, pero no a la ponencia o presentación de la entidad.
* En los diálogos circulares se mencionan "3 presentaciones que contienen la metodología y agenda por equipos" pero solo se entregaron dos presentaciones.
* En ese mismo componente, ¿el documento "1 presentación que contiene el insumo presentado a la Directora General" corresponde al "cuadro detalles de diálogos"?.
* Dos de las carpetas de "Apoyos puntuales" están vacías: "Estudios Bogotá" y "Estudios Valledupar". Quedamos atentos para saber si las eliminamos o se cuenta con los documentos que deben contener.
* El acta indicada sobre el trabajo con la Oficina Asesora de Planeación, con fecha del 8 de abril de 2019, se refiere al intercambio de información general sobre las rutas de trabajo, pero no específicamente a la Planeación estratégica de la UBPD, por lo que se sugiere revisar si es posible incluir como soporte, en lugar o de manera complementaria a esta acta, la que corresponde a la reunión en que la directora general solicitó el apoyo sobre el tema por parte de la OGC.
* Por el contenido de las actas, se sugiere verificar si esta actividad y+ soporte no correspondería más al indicador 006 en el componente de glosario.</t>
  </si>
  <si>
    <t>* Estado del arte sobre la desaparición de personas en Colombia en contexto y en razón del conflicto armado.
* 10 fichas analíticas en Word.
* 1 informe de avance.
Apoyos puntuales:
Dirección General:
* 1 documento con el cuadro comparativo sobre el cambio de paradigma.
* 1 presentación de la búsqueda judicial a la búsqueda humanitaria y extrajudicial.
* 1 propuesta comentada por OGC sobre “los aportes de la búsqueda de personas dadas por desaparecidas en el contexto y en razón del conflicto armado en Colombia en el marco de la Justicia Transicional como camino hacia la construcción de paz”.
* 1 documento con la ponencia “la UBPD como fundamento de una acción colectiva en la construcción de paz”Programación y afiche publicitario del seminario Formemos Memoria “conversaciones y manifestaciones artísticas como estrategia de reparación simbólica y no repetición”.
Dialogos circulares:
* 3 presentaciones que contienen la metodología y agenda por equipos.
* Un informe ejecutivo de las jornadas, con tres listados de asistencia.
* 1 presentación que contiene el insumo presentado a la Directora General.
Otros:
* 1 acta de reunión de coordinar un trabajo con la Oficina Asesora de Planeación para la Planeación estratégica.
* Conceptos de confiabilidad realizados en el marco del apoyo a la Subdirección Tecnica y Territorial.
* 2 Actas de reunión y listados de asistencia de las reuniones sostenidas con la b. Dirección Técnica de Participación, contacto con víctimas y enfoques diferenciales.</t>
  </si>
  <si>
    <t>1. Frente al estado del arte sobre la desaparición de personas en Colombia en contexto y en razón del conflicto armado se avanzó en la búsqueda y recolección de literatura en formato digital sobre la desaparición de personas en contextos de conflictos armados y violencia sociopolítica. En su desarrollo, se ha dado énfasis a la información sobre procesos de búsqueda humanitarios y/o extrajudiciales, el rol de las familias o allegados en la búsqueda, las tendencias y principales debates de los procesos humanitarios de búsqueda de personas en escenarios de justicia transicional, así como las pautas, experiencias y metodologías sobre la incorporación de enfoques diferenciales en la búsqueda. Esta primera búsqueda arrojó como resultado 449 documentos (artículos, libros, informes) sobre desaparición forzada y 194 sobre reclutamiento y utilización de niños, niñas y adolescentes. Esta documentación se encuentra en proceso de depuración para evaluar la pertienencia.
Así mismo se avanzó en la redacción de cinco (5) fichas analíticas para el caso de desaparición forzada, cinco (5) fichas sobre reclutamiento y un informe de avance. 
2. Durante el segundo trimestre se realizaron estos apoyos puntuales:
2.1 A la Dirección General:
 • Se realizó un documento en donde se hace un análisis de las diferencias entre la búsqueda desde la óptica judicial y la búsqueda desde una perspectiva humanitaria y extrajudicial, resaltando la diferencia de lo que implica la existencia de una entidad estatal con naturaleza humanitaria y extrajudicial, única en el mundo. Así mismo, la OGC apoyó al equipo de asesores en la realización de una propuesta sobre “los aportes de la búsqueda de personas dadas por desaparecidas en el contexto y en razón del conflicto armado en Colombia en el marco de la justicia transicional como camino hacia la construcción de paz” con miras a tener un documento más elaborado sobre el tema. 
• El miércoles 22 de mayo se representó a la UBPD en el II seminario “Formemos Memoria “conversaciones y manifestaciones artísticas como estrategia de reparación simbólica y no repetición”. Se presentó de la ponencia “la UBPD como fundamento de una acción colectiva en la construcción de paz”.
• Diálogos circulares: la intención de estos diálogos es generar un espacio de acercamiento y diálogo entre la Directora General y los equipos de la UBPD. Estos talleres tuvieron lugar inicialmente con los tres equipos misionales el 12 de abril en una jornada continua.
• Planeación estratégica: la Directora solicitó un planteamiento de enfoque estratégico desde las metas de la Dirección General. Se realizó una propuesta de semáforo de enfoque. A partir de esta discusión se empezó a coordinar un trabajo con la Oficina Asesora de Planeación para definir la contratación de un consultor en este tema.
2.2. A otras áreas: 
• Apoyo a la Subdirección Técnica y Territorial, con la realización de los estudios de confiabilidad para las personas a contratar en 8 ciudades.
• Dirección Técnica de Participación, contacto con víctimas y enfoques diferenciales: Se está realizando un acompañamiento para evaluar cómo se percibe la metodología de participación de esta Dirección técnica en su relación con familiares y allegados de las personas dadas por desaparecidas en contexto y razón del conflicto armado.</t>
  </si>
  <si>
    <t>7% de ejecución del plan de estudios e investigaciones</t>
  </si>
  <si>
    <t>Se anexan los siguientes documentos:
1) Metodología del Estado del Arte sobre la Desaparición en Colombia en el Marco y en Razón del Conflicto Armado.
2) Plan de estudio: Contextos Generales de las Violaciones a los Derechos Humanos Asociadas a la Desaparición en Colombia en el Marco y en Razón del Conflicto Armado.
3)Plan de estudio: Documentación de las metodologías de los procesos de búsqueda de las personas desaparecidas en contextos de violencia sociopolítica a nivel internacional</t>
  </si>
  <si>
    <t>A primer trimestre de 2019, la Oficina de Gestión de Conocimiento avanzó en el desarrollo de los siguientes estudios:
1) Estado del Arte sobre la Desaparición en Colombia en el Marco y en Razón del Conflicto Armado.
2) Contextos Generales de las Violaciones a los Derechos Humanos Asociadas a la Desaparición en Colombia en el Marco y en Razón del Conflicto Armado.
3) Documentación de las metodologías de los procesos de búsqueda de las personas desaparecidas en contextos de violencia sociopolítica a nivel internacional</t>
  </si>
  <si>
    <t>14% de ejecución del plan de estudios e investigaciones</t>
  </si>
  <si>
    <t xml:space="preserve">Se anexa informe consolidado de la información de ejecución reportada por los cooperantes </t>
  </si>
  <si>
    <t xml:space="preserve">Durante el tercer trimestre de 2019 se generaron alertas orientadas a ajustar los planes de trabajo de los proyectos y fichas de cooperación que tienen la UBPD.  Las áreas misionales presentaron ajustes lo que se refleja en una mayor ejecución durante el trimestre. </t>
  </si>
  <si>
    <t>34,60% de los recursos de cooperación internacional ejecutados</t>
  </si>
  <si>
    <t>20% de los recursos de cooperación internacional ejecutados</t>
  </si>
  <si>
    <t>Se sugiere al equipo de Cooperación Internacional y de Alianzas incluir en la matriz consolidada de ejecución las fechas de los pagos efectuados. De tal forma que la generación de informes genere un reporte mas detallado de forma mensual o diaria si así se quisiera.</t>
  </si>
  <si>
    <t>Reporte matriz consolidada de ejecución periodo 1 enero a 30 de junio de 2019</t>
  </si>
  <si>
    <t xml:space="preserve">Teniendo en cuenta las mesas de trabajo realizadas con las áreas misionales con el fin de plantear a los cooperantes y aliados los ajustes necesarios para avanzar con las actividades de despliegue territorial, a la fecha se cuenta con capacidad instalada en 10 departamentos, lo que incide directamente en la ejecución de los recursos que respaldan estas actividades.
Así mismo, se ha avanzado en la consolidación de la propuesta metodológica para el diseño de Plan de Búsqueda y se espera que en el tercer trimestre se inicien los encuentros nacionales en territorio.
Finalmente, se han realizado las contrataciones que permitirán el desarrollo de las capacitaciones en el territorio en materia de seguridad en clave de prevención. 
En conclusión, durante la vigencia 2019 se han ejecutado el 39.03% de los recursos que se tienen, para efectos de presentación del informe de avance se descontará el porcentaje de avance del primer trimestre que se reportó para poder tener la información que corresponde al segundo trimestre </t>
  </si>
  <si>
    <t>31% de los recursos de cooperación internacional ejecutados</t>
  </si>
  <si>
    <t>Meta en riesgo, ya que la ejecución del periodo fue 40,2%. Se sugiere que ejecución no realizada del 11,7% se concentre en el 2do trimestre 2019, para no generar un rezago general de la meta anual la cual se encuentra en un 15% menos de lo proyectado para la vigencia. En avance cualitativo es importante no solo indicar acciones de mitigación sino también causas de rezagos.
Se solicita precisar periodicidad de los informes de seguimiento a la ejecución.</t>
  </si>
  <si>
    <t>1. Ficha de solicitud de redistribución de presupuesto y extensión de proyecto del Fondo Multidonante operado por PNUD; 
2. Oficio de notificación a ajuste a POA proyecto con Embajada de Holanda, operado por el ICTJ.</t>
  </si>
  <si>
    <t xml:space="preserve">Se realizó solicitud de redistribución de presupuesto y extensión en tiempo del proyecto que implementa la UBPD con recursos del Fondo Multidonante de las Naciones Unidas para corregir la subejecución que presenta el proyecto. Se ajustó además el Plan Operativo del proyecto que la entidad ejecuta con el ICTJ mediante los recursos de la Embajada de Holanda, para dar comienzo a las actividades en el segundo trimestre del año. </t>
  </si>
  <si>
    <t>8,03% de los recursos de cooperación internacional ejecutados</t>
  </si>
  <si>
    <t xml:space="preserve">1. Memorandum de Entendimiento con Fundación Carter - fecha firma del convenio 29 de agosto de 2019 por parte de representante de la Fundación Carter y pendiente de firma de la UBPD en espera de la llegada de los documentos originales a Bogotá. 
2. Acuerdo Grant Agreement In-Kind, suscrito el 30 de septiembre de 2019 por parte de la UBPD. Se remite la copia firmada por la Unidad en espera de devolución del original firmado por el cooperante (USAID/CHEMONICS).  
Otros soportes: 
1. AECID, correo remitido por el cooperante 
2. ICMP: propuesta ICMP y el acta de reunión </t>
  </si>
  <si>
    <t xml:space="preserve">1. AECID: Se aprobó por parte del cooperante financiador, sin embargo, se acordó que las actividades a realizar se ejecutarán en el año 2020 teniendo en cuenta sus disposiciones en materia presupuestal 
2. USAID Chemonics In Kind Grant: se suscribió para la donación de equipos de cómputo que apoyarán la implementación del Plan de impulso a la identificación 
3. Fundación Carter: Se encuentra en firma por parte de Carter el memorándum de entendimiento en versión español e inglés.
4. ICMP: se cuenta con el Plan aprobado para el desarrollo de la asistencia técnica solicitado para la proyección del memorándum de entendimiento. </t>
  </si>
  <si>
    <t>2 acuerdo de cooperación técnica suscrito</t>
  </si>
  <si>
    <t>Pese a que se relacionan los documentos que sustentan el avance en la suscripción de convenios de cooperación técnica, el indicador se encuentra en estado crítico. En tal sentido, se sugiere realizar un cronograma en lo que resta de la vigencia para garantizar que los 4 convenios se suscriban en el 2019</t>
  </si>
  <si>
    <t>Se relacionan los documentos que sustentan el avance en la suscripción de convenios de cooperación técnica, los cuales son: 
1. Documento técnico de estructuración convenio Fundación Carter 
2. Documento de proyecto para suscribir con AECID
3. Documento que sustenta el convenio con ICMP
4. Documento técnico de estructuración para la suscripción del convenio con JRR</t>
  </si>
  <si>
    <t xml:space="preserve">Durante el segundo trimestre de 2019, se estructuraron los siguientes convenios de cooperación técnica:
1. Fundación Carter: Se elaboró el documento de proyecto y a la fecha se encuentra en revisión de la oficina Jurídica y Secretaria General de la UBPD para firmar el convenio.
2. AECID: Se elaboró el documento de proyecto de cooperación técnica, a la fecha se encuentra en revisión del aliado, cuya finalidad es el desarrollo de intercambio de experiencias y apoyo para la participación de víctimas en el exterior
3. ICMP: Se cuenta con una carta de intención suscrita en el mes de noviembre de 2018 la cual está en proceso de revisión conjunta con la organización para formalizar el acuerdo 
4. JRR: Se cuenta con una propuesta de cooperación y asistencia técnica especializada para la UBPD en materia de gestión de información para la búsqueda la cual está en revisión de la oficina de gestión del conocimiento y áreas misionales </t>
  </si>
  <si>
    <t>0 acuerdo de cooperación técnica suscrito</t>
  </si>
  <si>
    <t>1 acuerdo de cooperación técnica suscrito</t>
  </si>
  <si>
    <t>Aunque la meta prevista en el trimestre es cero, se valora el reporte cualitativo, ya que permité entender qué acciones se están desarrollando para alcanzar los avances proyectados en los siguientes periodos de reporte.
Se sugiere evaluar si el indicar 001 y 002 se pueden unificar, dado que, en ambos casos, cuentan alianzas con socios externos.</t>
  </si>
  <si>
    <t>1. Memorado de Entendimiento -UBPD -ONUMUJERES - formato nuevo
2. Propuesta Centro carter_UBPD_TechnicalAssistanceProposal_Feb2019
3. VISP-228 (MOU UBPD)(VP1-G4)(02-04-2019) Borrador Cooperacion</t>
  </si>
  <si>
    <t>Se encuentra en gestión el desarrollo de acuerdos de cooperación técnica con organizaciones internacionales para reforzar las capacidades y transferencia de conocimientos a la entidad en materia de recolección, procesamiento y análisis de información, implementación de enfoque de género e intercambio de experiencias en materia con organizaciones técnico científicas y organizaciones expertas.
Según el reporte financiero de la ejecución de los actuales proyectos y fichas de Cooperación Internacional suscritos por la UBPD realizado por los operadores (PNUD - ICTJ) que entregaron la siguiente información: 
Presupuesto a ejecutar 2019 MPTF (PNUD): 1.353.255 USD
Ejecutado Enero - Marzo 2019: 3.938 USD correspondiente a un 0.3% 
Ejecución acumulada del presupuesto total: correspondiente al 39% (reportado en el informe de indicadores)
Presupuesto a ejecutar Proyecto ICTJ (Embajada de Holanda): 945.580.000 COP 
Ejecución Enero a Marzo de 2019: 74.808.875 COP correspondiente a un 8%
Total de ejecución 1er trimestre 2019: 8.03%</t>
  </si>
  <si>
    <t xml:space="preserve">0 acuerdos de cooperación técnica suscritos </t>
  </si>
  <si>
    <t>Documentos soportes: 
1. Correo de aprobación por parte del Cooperante financiador (MPTF) 
2. Documento de Proyecto MPTF  
3. Ficha de Proyecto aprobada por cooperante implementador (OIM)</t>
  </si>
  <si>
    <t>Durante el tercer trimestre de 2019, se han adelantado las siguientes gestiones en cuanto a convenio de cooperación internacional
1. Fondo Multidonante de las Naciones Unidas – MPTF: Se han llevado a cabo mesas de trabajo interinstitucionales como Sistema Integral acompañadas de las 2 agencias que serán las implementadoras de estas acciones OIM y PNUD, para estructurar el nuevo proyecto a suscribir el cual está conformado por 3 componentes: 
a. Fortalecimiento de territorialización como sistema integral 
b. Estrategia de comunicación y pedagogía como Sistema integral 
c. Estrategia de seguridad y autoprotección para los equipos en territorio 
Este proyecto se encuentra aprobado por el Cooperante Financiador y se tiene prevista la firma de este documento en el mes de noviembre de 2019.
2. USAID: Se gestionó y fue aprobada la nueva ficha que será implementada por OIM para apoyar la estrategia pedagógica círculos de saberes durante el 1er trimestre de 2020</t>
  </si>
  <si>
    <t>1 proyectos de cooperación financiera aprobados</t>
  </si>
  <si>
    <t>Durante la medición del 1er trimestre se generó una victoria temprana, por lo mismo, el cumplimiento del 2do trimestre se garantizó con antelación, por esto se cuenta con un nivel de cumplimiento óptimo. Es necesario precisar cuál de los 2 documentos de avance se materializarán en el tiempo, de tal forma que se garantice por lo menos 1 convenio para el 3er trimestre.</t>
  </si>
  <si>
    <t xml:space="preserve">Como sustento de lo planteado anteriormente: se anexan los siguientes documentos de avance para materializar los convenios de cooperación: 
1.Documento técnico de avance de la estructuración del convenio con GIZ 
2. MOU para suscribir con OIM </t>
  </si>
  <si>
    <t xml:space="preserve">Durante el segundo trimestre de 2019, se han adelantado las siguientes gestiones en cuanto a convenios de cooperación: 
1. GIZ: Se cuenta con un plan de cooperación en revisión para apoyar las acciones de:
• Fortalecimiento de la presencia territorial de UBPD en Meta, Caquetá Norte de Santander
• Intercambio de experiencias y capacitación a servidores de la CNB
• Desarrollo de acciones para el posicionamiento internacional de la UBPD (consultorías) 
2. OIM. Se construyó el de Memorándum de entendimiento que suscribirá la UBPD y el aliado, a la fecha está en revisión de la oficina Jurídica y Secretaria General de la UBPD. </t>
  </si>
  <si>
    <t>0 proyectos de cooperación financiera aprobados</t>
  </si>
  <si>
    <t>A pesar de contar con un nivel de cumplimiento óptimo, es necesario revisar si es pertinente incrementar la meta prevista (3 proyectos de cooperación aprobados), o si se trata de una victoria temprana que no impactará el total anual. Si se da el primer caso, sugerimos solicitar la modificación tan pronto como la Oficina Asesora de Planeación indique las fechas para tal fin.
Se solicita revisar el nombre del indicador para que no se restrinja a proyectos de cooperación internacional, sino de cooperación en su conjunto. Asi mismo, se sugiere evaluar si el indicar 001 y 002 se pueden unificar</t>
  </si>
  <si>
    <t>1. Ficha presentada aprobada por el Programa VISP de la OIM.</t>
  </si>
  <si>
    <t xml:space="preserve">Se aprobó por parte de USAID a través del Programa de Fortalecimiento Institucional para las Víctimas (VISP) de la OIM, ficha para el desarrollo de encuentros con familiares de víctimas y diversas organizaciones del nivel nacional y regional, para recopilar información e insumos para el diseño de Plan Nacional de Búsqueda y elaboración de material pedagógico que acompaña el proceso. </t>
  </si>
  <si>
    <t>Soportes del avance
Tercer trimestre de 2019</t>
  </si>
  <si>
    <t>Avance cualitativo
Tercer trimestre de 2019</t>
  </si>
  <si>
    <t>Nivel de cumplimiento 2019</t>
  </si>
  <si>
    <t>% Avance acumulado 2019</t>
  </si>
  <si>
    <t>% Avance - III trimestre de 2019</t>
  </si>
  <si>
    <t>Avance cuantitativo
III trimestre de 2019</t>
  </si>
  <si>
    <t>Meta
III trimestre de 2019</t>
  </si>
  <si>
    <t>Retroalimentación Oficina Asesora de Planeación
Segundo trimestre de 2019</t>
  </si>
  <si>
    <t>Soportes del avance
Segundo trimestre de 2019</t>
  </si>
  <si>
    <t>Avance cualitativo
Segundo trimestre de 2019</t>
  </si>
  <si>
    <t>% Avance - II trimestre de 2019</t>
  </si>
  <si>
    <t>Avance cuantitativo
II trimestre de 2019</t>
  </si>
  <si>
    <t>Meta
II trimestre de 2019</t>
  </si>
  <si>
    <t>Retroalimentación Oficina Asesora de Planeación
Primer trimestre de 2019</t>
  </si>
  <si>
    <t>Soportes del avance
Primer trimestre de 2019</t>
  </si>
  <si>
    <t>Avance cualitativo
Primer trimestre de 2019</t>
  </si>
  <si>
    <t>Nivel de cumplimiento - I trimestre de 2019</t>
  </si>
  <si>
    <t>% Avance - I trimestre de 2019</t>
  </si>
  <si>
    <t>Avance cuantitativo
I trimestre de 2019</t>
  </si>
  <si>
    <t>Meta
I trimestre de 2019</t>
  </si>
  <si>
    <t>SEGUIMIENTO TERCER TRIMESTRE DE 2019</t>
  </si>
  <si>
    <t>SEGUIMIENTO SEGUNDO TRIMESTRE DE 2019</t>
  </si>
  <si>
    <t>SEGUIMIENTO PRIMER TRIMESTRE DE 2019</t>
  </si>
  <si>
    <t>AJUSTAR LECTURA Y CUMPLIMIENTO DE LAS METAS</t>
  </si>
  <si>
    <t>Frente al proceso de diseño de lineamientos de reencuentros y entregas dignas con enfoques diferenciales, género y psicosocial se ha avanzado en la estructuración de un documento preliminar y un plan de trabajo para la construcción de los lineamientos. El documento preliminar presenta el reto de enmarcar las entregas dignas desde el carácter humanitario y extrajudicial. Esto teniendo en cuenta el objeto de la UBPD, dado que de acuerdo a las diferentes solicitudes búsqueda, la entidad realizará acciones de Coordinación, Dirección o Contribución de acciones humanitarias para la búsqueda de personas dadas por desaparecidas; lo anterior basándose en los desarrollos conceptuales y metodológicos que la Dirección de Participación ha realizado en materia de los principios para participar en un escenario de Entrega Digna o Reencuentro, con la incorporación de los enfoques diferenciales y de género. 
Por último, se logró la articulación interinstitucional con la Fiscalía y Unidad para la Atención y Reparación Integral a las Víctimas [UARIV] para una entrega Digna por solicitud de los familiares. Así mismo, se realizó otro proceso de Entrega Digna en la ciudad de Villavicencio. Las Entregas Dignas realizadas corresponden al Sr. Heli Ballesteros y al Sr. William Ricardo Barón, de las cuales, se adjunta como soporte las actas de estos procesos. Es importante aclarar, que existe un reporte detallado de las entregas dignas realizadas los cuales son de caracter confidencial y se encuentran en la Dirección de Participación, en el computador de Liz Arévalo, Soportes Plan de Acción III Trimestre.</t>
  </si>
  <si>
    <t xml:space="preserve">Participar en el diseño e implementación de la estrategia de rendición de cuentas de acuerdo con los estándares de transparencia. </t>
  </si>
  <si>
    <r>
      <t xml:space="preserve">Pantallazo de la ruta drive donde se almacenan los planes. 
En los siguientes links se encuentran los planes regionales de busqueda:
Bagadó: </t>
    </r>
    <r>
      <rPr>
        <u/>
        <sz val="9"/>
        <rFont val="Arial Narrow"/>
        <family val="2"/>
      </rPr>
      <t>https://drive.google.com/drive/u/0/folders/1FiqVBk4diagYbvjgdNtXOjOpazV0FHp</t>
    </r>
    <r>
      <rPr>
        <sz val="9"/>
        <rFont val="Arial Narrow"/>
        <family val="2"/>
      </rPr>
      <t xml:space="preserve">2; 
Facatativá: </t>
    </r>
    <r>
      <rPr>
        <u/>
        <sz val="9"/>
        <rFont val="Arial Narrow"/>
        <family val="2"/>
      </rPr>
      <t>https://drive.google.com/drive/u/0/folders/1ZazQxKaYHf09VgKtlM_FsY--P3t_o-v5</t>
    </r>
    <r>
      <rPr>
        <sz val="9"/>
        <rFont val="Arial Narrow"/>
        <family val="2"/>
      </rPr>
      <t xml:space="preserve">;
Carrizal: </t>
    </r>
    <r>
      <rPr>
        <u/>
        <sz val="9"/>
        <rFont val="Arial Narrow"/>
        <family val="2"/>
      </rPr>
      <t>https://drive.google.com/drive/u/0/folders/1PKaxaT03BdcHpo28vgGyHKCREl7_l9vZ</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</si>
</sst>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quot;$&quot;\ * #,##0.00_ ;_ &quot;$&quot;\ * \-#,##0.00_ ;_ &quot;$&quot;\ * &quot;-&quot;??_ ;_ @_ "/>
    <numFmt numFmtId="165" formatCode="[$-C0A]d\-mmm\-yy;@"/>
    <numFmt numFmtId="166" formatCode="d\-m\-yy;@"/>
    <numFmt numFmtId="167" formatCode="dd/mm/yyyy;@"/>
    <numFmt numFmtId="168" formatCode="0.0%"/>
  </numFmts>
  <fonts count="19" x14ac:knownFonts="1">
    <font>
      <sz val="11"/>
      <color theme="1"/>
      <name val="Calibri"/>
      <family val="2"/>
      <scheme val="minor"/>
    </font>
    <font>
      <b/>
      <sz val="26"/>
      <color rgb="FFCC99FF"/>
      <name val="Arial Narrow"/>
      <family val="2"/>
    </font>
    <font>
      <b/>
      <sz val="22"/>
      <name val="Arial Narrow"/>
      <family val="2"/>
    </font>
    <font>
      <sz val="12"/>
      <color theme="1"/>
      <name val="Arial Narrow"/>
      <family val="2"/>
    </font>
    <font>
      <b/>
      <u/>
      <sz val="18"/>
      <name val="Arial Narrow"/>
      <family val="2"/>
    </font>
    <font>
      <sz val="12"/>
      <name val="Arial Narrow"/>
      <family val="2"/>
    </font>
    <font>
      <b/>
      <sz val="12"/>
      <name val="Arial Narrow"/>
      <family val="2"/>
    </font>
    <font>
      <sz val="10"/>
      <name val="Arial"/>
      <family val="2"/>
    </font>
    <font>
      <sz val="12"/>
      <color rgb="FFFF0000"/>
      <name val="Arial Narrow"/>
      <family val="2"/>
    </font>
    <font>
      <sz val="11"/>
      <color rgb="FF9C6500"/>
      <name val="Calibri"/>
      <family val="2"/>
      <scheme val="minor"/>
    </font>
    <font>
      <i/>
      <sz val="12"/>
      <name val="Arial Narrow"/>
      <family val="2"/>
    </font>
    <font>
      <i/>
      <sz val="12"/>
      <color theme="1"/>
      <name val="Arial Narrow"/>
      <family val="2"/>
    </font>
    <font>
      <sz val="14"/>
      <color theme="1"/>
      <name val="Calibri"/>
      <family val="2"/>
      <scheme val="minor"/>
    </font>
    <font>
      <sz val="9"/>
      <name val="Arial Narrow"/>
      <family val="2"/>
    </font>
    <font>
      <u/>
      <sz val="9"/>
      <name val="Arial Narrow"/>
      <family val="2"/>
    </font>
    <font>
      <b/>
      <sz val="9"/>
      <name val="Arial Narrow"/>
      <family val="2"/>
    </font>
    <font>
      <sz val="8"/>
      <name val="Arial Narrow"/>
      <family val="2"/>
    </font>
    <font>
      <b/>
      <sz val="9"/>
      <color indexed="81"/>
      <name val="Tahoma"/>
      <family val="2"/>
    </font>
    <font>
      <sz val="9"/>
      <color indexed="81"/>
      <name val="Tahoma"/>
      <family val="2"/>
    </font>
  </fonts>
  <fills count="17">
    <fill>
      <patternFill patternType="none"/>
    </fill>
    <fill>
      <patternFill patternType="gray125"/>
    </fill>
    <fill>
      <patternFill patternType="solid">
        <fgColor rgb="FFFFEB9C"/>
      </patternFill>
    </fill>
    <fill>
      <patternFill patternType="solid">
        <fgColor theme="0"/>
        <bgColor indexed="64"/>
      </patternFill>
    </fill>
    <fill>
      <patternFill patternType="solid">
        <fgColor rgb="FF599FA5"/>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7"/>
        <bgColor indexed="64"/>
      </patternFill>
    </fill>
    <fill>
      <patternFill patternType="solid">
        <fgColor rgb="FF00B0F0"/>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rgb="FF66FFCC"/>
        <bgColor indexed="64"/>
      </patternFill>
    </fill>
    <fill>
      <patternFill patternType="solid">
        <fgColor theme="9" tint="0.59999389629810485"/>
        <bgColor indexed="64"/>
      </patternFill>
    </fill>
    <fill>
      <patternFill patternType="solid">
        <fgColor theme="7" tint="0.39997558519241921"/>
        <bgColor indexed="64"/>
      </patternFill>
    </fill>
  </fills>
  <borders count="28">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indexed="64"/>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indexed="64"/>
      </top>
      <bottom style="medium">
        <color indexed="64"/>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auto="1"/>
      </right>
      <top/>
      <bottom/>
      <diagonal/>
    </border>
    <border>
      <left style="medium">
        <color indexed="64"/>
      </left>
      <right style="thin">
        <color auto="1"/>
      </right>
      <top style="thin">
        <color auto="1"/>
      </top>
      <bottom/>
      <diagonal/>
    </border>
    <border>
      <left/>
      <right style="thin">
        <color auto="1"/>
      </right>
      <top style="medium">
        <color indexed="64"/>
      </top>
      <bottom style="thin">
        <color auto="1"/>
      </bottom>
      <diagonal/>
    </border>
    <border>
      <left/>
      <right style="thin">
        <color auto="1"/>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3">
    <xf numFmtId="0" fontId="0" fillId="0" borderId="0"/>
    <xf numFmtId="0" fontId="9" fillId="2" borderId="0" applyNumberFormat="0" applyBorder="0" applyAlignment="0" applyProtection="0"/>
    <xf numFmtId="164" fontId="7" fillId="0" borderId="0" applyFont="0" applyFill="0" applyBorder="0" applyAlignment="0" applyProtection="0"/>
  </cellStyleXfs>
  <cellXfs count="170">
    <xf numFmtId="0" fontId="0" fillId="0" borderId="0" xfId="0"/>
    <xf numFmtId="0" fontId="1" fillId="3" borderId="1" xfId="0" applyFont="1" applyFill="1" applyBorder="1" applyAlignment="1">
      <alignment vertical="center"/>
    </xf>
    <xf numFmtId="0" fontId="1" fillId="3" borderId="2" xfId="0" applyFont="1" applyFill="1" applyBorder="1" applyAlignment="1">
      <alignment vertical="center"/>
    </xf>
    <xf numFmtId="0" fontId="2" fillId="3" borderId="3" xfId="0" applyFont="1" applyFill="1" applyBorder="1" applyAlignment="1">
      <alignment vertical="center"/>
    </xf>
    <xf numFmtId="0" fontId="2" fillId="3" borderId="0" xfId="0" applyFont="1" applyFill="1" applyAlignment="1">
      <alignment vertical="center"/>
    </xf>
    <xf numFmtId="0" fontId="3" fillId="0" borderId="0" xfId="0" applyFont="1"/>
    <xf numFmtId="0" fontId="5" fillId="3" borderId="0" xfId="0" applyFont="1" applyFill="1" applyAlignment="1">
      <alignment horizontal="center"/>
    </xf>
    <xf numFmtId="0" fontId="5" fillId="3" borderId="0" xfId="0" applyFont="1" applyFill="1"/>
    <xf numFmtId="14" fontId="5" fillId="3" borderId="0" xfId="0" applyNumberFormat="1" applyFont="1" applyFill="1" applyAlignment="1">
      <alignment horizontal="center"/>
    </xf>
    <xf numFmtId="0" fontId="3" fillId="0" borderId="0" xfId="0" applyFont="1" applyAlignment="1">
      <alignment horizontal="center"/>
    </xf>
    <xf numFmtId="0" fontId="5" fillId="3" borderId="8" xfId="0" applyFont="1" applyFill="1" applyBorder="1" applyAlignment="1">
      <alignment horizontal="left" vertical="center" wrapText="1"/>
    </xf>
    <xf numFmtId="14" fontId="5" fillId="3" borderId="8" xfId="0" applyNumberFormat="1" applyFont="1" applyFill="1" applyBorder="1" applyAlignment="1">
      <alignment horizontal="center" vertical="center" wrapText="1"/>
    </xf>
    <xf numFmtId="14" fontId="5" fillId="0" borderId="8" xfId="0" applyNumberFormat="1" applyFont="1" applyBorder="1" applyAlignment="1">
      <alignment horizontal="center" vertical="center" wrapText="1"/>
    </xf>
    <xf numFmtId="14" fontId="5" fillId="3" borderId="8" xfId="0" applyNumberFormat="1" applyFont="1" applyFill="1" applyBorder="1" applyAlignment="1">
      <alignment horizontal="center" wrapText="1"/>
    </xf>
    <xf numFmtId="0" fontId="5" fillId="5" borderId="8" xfId="0" applyFont="1" applyFill="1" applyBorder="1" applyAlignment="1">
      <alignment horizontal="left" vertical="center" wrapText="1"/>
    </xf>
    <xf numFmtId="14" fontId="5" fillId="5" borderId="8" xfId="0" applyNumberFormat="1" applyFont="1" applyFill="1" applyBorder="1" applyAlignment="1">
      <alignment horizontal="center" vertical="center" wrapText="1"/>
    </xf>
    <xf numFmtId="0" fontId="5" fillId="6" borderId="8" xfId="0" applyFont="1" applyFill="1" applyBorder="1" applyAlignment="1">
      <alignment horizontal="left" vertical="center" wrapText="1"/>
    </xf>
    <xf numFmtId="14" fontId="5" fillId="6" borderId="8" xfId="0" applyNumberFormat="1" applyFont="1" applyFill="1" applyBorder="1" applyAlignment="1">
      <alignment horizontal="center" vertical="center" wrapText="1"/>
    </xf>
    <xf numFmtId="0" fontId="3" fillId="6" borderId="8" xfId="0" applyFont="1" applyFill="1" applyBorder="1" applyAlignment="1">
      <alignment horizontal="left" vertical="center" wrapText="1"/>
    </xf>
    <xf numFmtId="0" fontId="5" fillId="0" borderId="8" xfId="0" applyFont="1" applyBorder="1" applyAlignment="1">
      <alignment vertical="center" wrapText="1"/>
    </xf>
    <xf numFmtId="167" fontId="5" fillId="0" borderId="8" xfId="0" applyNumberFormat="1" applyFont="1" applyBorder="1" applyAlignment="1">
      <alignment horizontal="center" vertical="center" wrapText="1"/>
    </xf>
    <xf numFmtId="167" fontId="5" fillId="0" borderId="8" xfId="0" applyNumberFormat="1" applyFont="1" applyBorder="1" applyAlignment="1">
      <alignment horizontal="center" vertical="center"/>
    </xf>
    <xf numFmtId="14" fontId="5" fillId="0" borderId="8" xfId="0" applyNumberFormat="1" applyFont="1" applyBorder="1" applyAlignment="1">
      <alignment horizontal="left" vertical="center" wrapText="1"/>
    </xf>
    <xf numFmtId="0" fontId="8" fillId="0" borderId="0" xfId="0" applyFont="1"/>
    <xf numFmtId="0" fontId="5" fillId="3" borderId="13" xfId="0" applyFont="1" applyFill="1" applyBorder="1" applyAlignment="1">
      <alignment horizontal="left" vertical="center" wrapText="1"/>
    </xf>
    <xf numFmtId="14" fontId="5" fillId="3" borderId="13" xfId="0" applyNumberFormat="1" applyFont="1" applyFill="1" applyBorder="1" applyAlignment="1">
      <alignment horizontal="center" wrapText="1"/>
    </xf>
    <xf numFmtId="0" fontId="5" fillId="3" borderId="0" xfId="0" applyFont="1" applyFill="1" applyAlignment="1">
      <alignment horizontal="justify" wrapText="1"/>
    </xf>
    <xf numFmtId="0" fontId="5" fillId="3" borderId="0" xfId="0" applyFont="1" applyFill="1" applyAlignment="1">
      <alignment horizontal="center" wrapText="1"/>
    </xf>
    <xf numFmtId="14" fontId="5" fillId="3" borderId="0" xfId="0" applyNumberFormat="1" applyFont="1" applyFill="1" applyAlignment="1">
      <alignment horizontal="center" wrapText="1"/>
    </xf>
    <xf numFmtId="0" fontId="5" fillId="3" borderId="0" xfId="0" applyFont="1" applyFill="1" applyAlignment="1">
      <alignment horizontal="fill" wrapText="1"/>
    </xf>
    <xf numFmtId="0" fontId="5" fillId="3" borderId="0" xfId="0" applyFont="1" applyFill="1" applyAlignment="1">
      <alignment horizontal="fill"/>
    </xf>
    <xf numFmtId="0" fontId="12" fillId="0" borderId="0" xfId="0" applyFont="1"/>
    <xf numFmtId="0" fontId="5" fillId="3" borderId="0" xfId="0" applyFont="1" applyFill="1" applyAlignment="1">
      <alignment horizontal="left"/>
    </xf>
    <xf numFmtId="0" fontId="5" fillId="3" borderId="0" xfId="0" applyFont="1" applyFill="1" applyAlignment="1">
      <alignment horizontal="left" wrapText="1"/>
    </xf>
    <xf numFmtId="166" fontId="5" fillId="3" borderId="14" xfId="2" applyNumberFormat="1" applyFont="1" applyFill="1" applyBorder="1" applyAlignment="1">
      <alignment horizontal="left" vertical="center" wrapText="1"/>
    </xf>
    <xf numFmtId="166" fontId="5" fillId="3" borderId="9" xfId="2" applyNumberFormat="1" applyFont="1" applyFill="1" applyBorder="1" applyAlignment="1">
      <alignment horizontal="left" vertical="center" wrapText="1"/>
    </xf>
    <xf numFmtId="166" fontId="5" fillId="5" borderId="9" xfId="2" applyNumberFormat="1" applyFont="1" applyFill="1" applyBorder="1" applyAlignment="1">
      <alignment horizontal="left" vertical="center" wrapText="1"/>
    </xf>
    <xf numFmtId="0" fontId="13" fillId="8" borderId="8" xfId="0" applyFont="1" applyFill="1" applyBorder="1" applyAlignment="1">
      <alignment horizontal="left" vertical="center" wrapText="1"/>
    </xf>
    <xf numFmtId="0" fontId="5" fillId="8" borderId="7" xfId="0" applyFont="1" applyFill="1" applyBorder="1" applyAlignment="1">
      <alignment horizontal="center" vertical="center" wrapText="1"/>
    </xf>
    <xf numFmtId="0" fontId="5" fillId="8" borderId="8" xfId="0" applyFont="1" applyFill="1" applyBorder="1" applyAlignment="1">
      <alignment horizontal="center" vertical="center" wrapText="1"/>
    </xf>
    <xf numFmtId="0" fontId="13" fillId="8" borderId="9" xfId="0" applyFont="1" applyFill="1" applyBorder="1" applyAlignment="1">
      <alignment horizontal="left" vertical="center" wrapText="1"/>
    </xf>
    <xf numFmtId="9" fontId="5" fillId="8" borderId="8" xfId="0" applyNumberFormat="1" applyFont="1" applyFill="1" applyBorder="1" applyAlignment="1">
      <alignment horizontal="center" vertical="center" wrapText="1"/>
    </xf>
    <xf numFmtId="0" fontId="5" fillId="8" borderId="16" xfId="0" applyFont="1" applyFill="1" applyBorder="1" applyAlignment="1">
      <alignment horizontal="center" vertical="center" wrapText="1"/>
    </xf>
    <xf numFmtId="0" fontId="5" fillId="8" borderId="9" xfId="0" applyFont="1" applyFill="1" applyBorder="1" applyAlignment="1">
      <alignment horizontal="center" vertical="center" wrapText="1"/>
    </xf>
    <xf numFmtId="0" fontId="5" fillId="8" borderId="8" xfId="0" applyFont="1" applyFill="1" applyBorder="1" applyAlignment="1">
      <alignment horizontal="left" vertical="center" wrapText="1"/>
    </xf>
    <xf numFmtId="0" fontId="5" fillId="5" borderId="9" xfId="0" applyFont="1" applyFill="1" applyBorder="1" applyAlignment="1">
      <alignment horizontal="left" vertical="center" wrapText="1"/>
    </xf>
    <xf numFmtId="0" fontId="5" fillId="0" borderId="9" xfId="0" applyFont="1" applyBorder="1" applyAlignment="1">
      <alignment horizontal="left" vertical="center" wrapText="1"/>
    </xf>
    <xf numFmtId="0" fontId="5" fillId="6" borderId="9" xfId="0" applyFont="1" applyFill="1" applyBorder="1" applyAlignment="1">
      <alignment horizontal="left" vertical="center" wrapText="1"/>
    </xf>
    <xf numFmtId="0" fontId="5" fillId="8" borderId="19" xfId="0" applyFont="1" applyFill="1" applyBorder="1" applyAlignment="1">
      <alignment horizontal="center" vertical="center" wrapText="1"/>
    </xf>
    <xf numFmtId="14" fontId="5" fillId="6" borderId="9" xfId="0" applyNumberFormat="1" applyFont="1" applyFill="1" applyBorder="1" applyAlignment="1">
      <alignment horizontal="left" vertical="center" wrapText="1"/>
    </xf>
    <xf numFmtId="0" fontId="5" fillId="6" borderId="9" xfId="0" applyFont="1" applyFill="1" applyBorder="1" applyAlignment="1">
      <alignment vertical="center" wrapText="1"/>
    </xf>
    <xf numFmtId="166" fontId="5" fillId="0" borderId="9" xfId="2" applyNumberFormat="1" applyFont="1" applyFill="1" applyBorder="1" applyAlignment="1">
      <alignment horizontal="left" vertical="center" wrapText="1"/>
    </xf>
    <xf numFmtId="166" fontId="5" fillId="0" borderId="9" xfId="2" applyNumberFormat="1" applyFont="1" applyFill="1" applyBorder="1" applyAlignment="1">
      <alignment vertical="center" wrapText="1"/>
    </xf>
    <xf numFmtId="166" fontId="5" fillId="6" borderId="9" xfId="2" applyNumberFormat="1" applyFont="1" applyFill="1" applyBorder="1" applyAlignment="1">
      <alignment horizontal="left" vertical="center" wrapText="1"/>
    </xf>
    <xf numFmtId="49" fontId="5" fillId="8" borderId="8" xfId="0" applyNumberFormat="1" applyFont="1" applyFill="1" applyBorder="1" applyAlignment="1">
      <alignment horizontal="center" vertical="center" wrapText="1"/>
    </xf>
    <xf numFmtId="166" fontId="5" fillId="8" borderId="9" xfId="2" applyNumberFormat="1" applyFont="1" applyFill="1" applyBorder="1" applyAlignment="1">
      <alignment horizontal="left" vertical="center" wrapText="1"/>
    </xf>
    <xf numFmtId="0" fontId="6" fillId="7" borderId="8"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15" borderId="9" xfId="0" applyFont="1" applyFill="1" applyBorder="1" applyAlignment="1">
      <alignment horizontal="center" vertical="center" wrapText="1"/>
    </xf>
    <xf numFmtId="0" fontId="6" fillId="15" borderId="8" xfId="0" applyFont="1" applyFill="1" applyBorder="1" applyAlignment="1">
      <alignment horizontal="center" vertical="center" wrapText="1"/>
    </xf>
    <xf numFmtId="0" fontId="6" fillId="15" borderId="7" xfId="0" applyFont="1" applyFill="1" applyBorder="1" applyAlignment="1">
      <alignment horizontal="center" vertical="center" wrapText="1"/>
    </xf>
    <xf numFmtId="0" fontId="6" fillId="16" borderId="5" xfId="0" applyFont="1" applyFill="1" applyBorder="1" applyAlignment="1">
      <alignment horizontal="center" vertical="center" wrapText="1"/>
    </xf>
    <xf numFmtId="0" fontId="6" fillId="16" borderId="23" xfId="0" applyFont="1" applyFill="1" applyBorder="1" applyAlignment="1">
      <alignment horizontal="center" vertical="center" wrapText="1"/>
    </xf>
    <xf numFmtId="165" fontId="6" fillId="16" borderId="6" xfId="2" applyNumberFormat="1" applyFont="1" applyFill="1" applyBorder="1" applyAlignment="1">
      <alignment horizontal="center" vertical="center" wrapText="1"/>
    </xf>
    <xf numFmtId="14" fontId="6" fillId="16" borderId="5" xfId="0" applyNumberFormat="1" applyFont="1" applyFill="1" applyBorder="1" applyAlignment="1">
      <alignment horizontal="center" vertical="center" wrapText="1"/>
    </xf>
    <xf numFmtId="0" fontId="6" fillId="16" borderId="4" xfId="0" applyFont="1" applyFill="1" applyBorder="1" applyAlignment="1">
      <alignment horizontal="center" vertical="center" wrapText="1"/>
    </xf>
    <xf numFmtId="0" fontId="5" fillId="7" borderId="8" xfId="0" applyFont="1" applyFill="1" applyBorder="1" applyAlignment="1">
      <alignment horizontal="center"/>
    </xf>
    <xf numFmtId="0" fontId="5" fillId="7" borderId="7" xfId="0" applyFont="1" applyFill="1" applyBorder="1" applyAlignment="1">
      <alignment horizontal="center"/>
    </xf>
    <xf numFmtId="0" fontId="5" fillId="4" borderId="9" xfId="0" applyFont="1" applyFill="1" applyBorder="1" applyAlignment="1">
      <alignment horizontal="center"/>
    </xf>
    <xf numFmtId="0" fontId="5" fillId="4" borderId="8" xfId="0" applyFont="1" applyFill="1" applyBorder="1" applyAlignment="1">
      <alignment horizontal="center"/>
    </xf>
    <xf numFmtId="0" fontId="5" fillId="4" borderId="7" xfId="0" applyFont="1" applyFill="1" applyBorder="1" applyAlignment="1">
      <alignment horizontal="center"/>
    </xf>
    <xf numFmtId="0" fontId="5" fillId="15" borderId="9" xfId="0" applyFont="1" applyFill="1" applyBorder="1" applyAlignment="1">
      <alignment horizontal="center"/>
    </xf>
    <xf numFmtId="0" fontId="5" fillId="15" borderId="8" xfId="0" applyFont="1" applyFill="1" applyBorder="1" applyAlignment="1">
      <alignment horizontal="center"/>
    </xf>
    <xf numFmtId="0" fontId="5" fillId="15" borderId="7" xfId="0" applyFont="1" applyFill="1" applyBorder="1" applyAlignment="1">
      <alignment horizontal="center"/>
    </xf>
    <xf numFmtId="0" fontId="1" fillId="3" borderId="24" xfId="0" applyFont="1" applyFill="1" applyBorder="1" applyAlignment="1">
      <alignment vertical="center"/>
    </xf>
    <xf numFmtId="0" fontId="1" fillId="3" borderId="3" xfId="0" applyFont="1" applyFill="1" applyBorder="1" applyAlignment="1">
      <alignment vertical="center"/>
    </xf>
    <xf numFmtId="0" fontId="5" fillId="0" borderId="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8" xfId="0" applyFont="1" applyBorder="1" applyAlignment="1">
      <alignment horizontal="left" vertical="center" wrapText="1"/>
    </xf>
    <xf numFmtId="0" fontId="5" fillId="0" borderId="9" xfId="0" applyFont="1" applyBorder="1"/>
    <xf numFmtId="166" fontId="5" fillId="0" borderId="9" xfId="2" applyNumberFormat="1" applyFont="1" applyBorder="1" applyAlignment="1">
      <alignment horizontal="left" vertical="center" wrapText="1"/>
    </xf>
    <xf numFmtId="167" fontId="5" fillId="6" borderId="8" xfId="0" applyNumberFormat="1" applyFont="1" applyFill="1" applyBorder="1" applyAlignment="1">
      <alignment horizontal="center" vertical="center" wrapText="1"/>
    </xf>
    <xf numFmtId="0" fontId="5" fillId="0" borderId="8" xfId="1" applyFont="1" applyFill="1" applyBorder="1" applyAlignment="1">
      <alignment horizontal="left" vertical="center" wrapText="1"/>
    </xf>
    <xf numFmtId="0" fontId="4" fillId="15" borderId="4" xfId="0" applyFont="1" applyFill="1" applyBorder="1" applyAlignment="1">
      <alignment horizontal="center" vertical="center"/>
    </xf>
    <xf numFmtId="0" fontId="4" fillId="15" borderId="5" xfId="0" applyFont="1" applyFill="1" applyBorder="1" applyAlignment="1">
      <alignment horizontal="center" vertical="center"/>
    </xf>
    <xf numFmtId="0" fontId="4" fillId="15" borderId="6"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4" fillId="7" borderId="4" xfId="0" applyFont="1" applyFill="1" applyBorder="1" applyAlignment="1">
      <alignment horizontal="center" vertical="center"/>
    </xf>
    <xf numFmtId="0" fontId="4" fillId="7" borderId="5"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49" fontId="5" fillId="3" borderId="8" xfId="0" applyNumberFormat="1" applyFont="1" applyFill="1" applyBorder="1" applyAlignment="1">
      <alignment horizontal="center" vertical="center" wrapText="1"/>
    </xf>
    <xf numFmtId="0" fontId="5" fillId="3" borderId="16" xfId="0" applyFont="1" applyFill="1" applyBorder="1" applyAlignment="1">
      <alignment horizontal="center" vertical="center" wrapText="1"/>
    </xf>
    <xf numFmtId="9" fontId="5" fillId="3" borderId="8" xfId="0" applyNumberFormat="1" applyFont="1" applyFill="1" applyBorder="1" applyAlignment="1">
      <alignment horizontal="center" vertical="center" wrapText="1"/>
    </xf>
    <xf numFmtId="0" fontId="13" fillId="3" borderId="8" xfId="0" applyFont="1" applyFill="1" applyBorder="1" applyAlignment="1">
      <alignment horizontal="left" vertical="center" wrapText="1"/>
    </xf>
    <xf numFmtId="0" fontId="13" fillId="3" borderId="9" xfId="0" applyFont="1" applyFill="1" applyBorder="1" applyAlignment="1">
      <alignment horizontal="left" vertical="center" wrapText="1"/>
    </xf>
    <xf numFmtId="9" fontId="5" fillId="0" borderId="8"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4" fillId="16" borderId="27" xfId="0" applyFont="1" applyFill="1" applyBorder="1" applyAlignment="1">
      <alignment horizontal="center" vertical="center"/>
    </xf>
    <xf numFmtId="0" fontId="4" fillId="16" borderId="26" xfId="0" applyFont="1" applyFill="1" applyBorder="1" applyAlignment="1">
      <alignment horizontal="center" vertical="center"/>
    </xf>
    <xf numFmtId="0" fontId="4" fillId="16" borderId="25" xfId="0" applyFont="1" applyFill="1" applyBorder="1" applyAlignment="1">
      <alignment horizontal="center" vertical="center"/>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168" fontId="5" fillId="0" borderId="8" xfId="0" applyNumberFormat="1" applyFont="1" applyBorder="1" applyAlignment="1">
      <alignment horizontal="center" vertical="center" wrapText="1"/>
    </xf>
    <xf numFmtId="0" fontId="5" fillId="3" borderId="18"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16" fillId="3" borderId="8" xfId="0" applyFont="1" applyFill="1" applyBorder="1" applyAlignment="1">
      <alignment horizontal="left" vertical="center" wrapText="1"/>
    </xf>
    <xf numFmtId="0" fontId="5" fillId="0" borderId="18" xfId="0" applyFont="1" applyBorder="1" applyAlignment="1">
      <alignment horizontal="center" vertical="center" wrapText="1"/>
    </xf>
    <xf numFmtId="9" fontId="5" fillId="0" borderId="18" xfId="0" applyNumberFormat="1" applyFont="1" applyBorder="1" applyAlignment="1">
      <alignment horizontal="center" vertical="center" wrapText="1"/>
    </xf>
    <xf numFmtId="9" fontId="5" fillId="0" borderId="17" xfId="0" applyNumberFormat="1" applyFont="1" applyBorder="1" applyAlignment="1">
      <alignment horizontal="center" vertical="center" wrapText="1"/>
    </xf>
    <xf numFmtId="9" fontId="5" fillId="0" borderId="10" xfId="0" applyNumberFormat="1" applyFont="1" applyBorder="1" applyAlignment="1">
      <alignment horizontal="center" vertical="center" wrapText="1"/>
    </xf>
    <xf numFmtId="0" fontId="5" fillId="0" borderId="7" xfId="0" applyFont="1" applyBorder="1" applyAlignment="1">
      <alignment horizontal="center" vertical="center" wrapText="1"/>
    </xf>
    <xf numFmtId="49" fontId="5" fillId="0" borderId="8"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5" fillId="3" borderId="22"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0" borderId="17" xfId="0" applyFont="1" applyBorder="1" applyAlignment="1">
      <alignment horizontal="center" vertical="center" wrapText="1"/>
    </xf>
    <xf numFmtId="0" fontId="5" fillId="0" borderId="10" xfId="0" applyFont="1" applyBorder="1" applyAlignment="1">
      <alignment horizontal="center" vertical="center" wrapText="1"/>
    </xf>
    <xf numFmtId="168" fontId="5" fillId="3" borderId="8" xfId="0" applyNumberFormat="1" applyFont="1" applyFill="1" applyBorder="1" applyAlignment="1">
      <alignment horizontal="center" vertical="center" wrapText="1"/>
    </xf>
    <xf numFmtId="10" fontId="5" fillId="3" borderId="8" xfId="0" applyNumberFormat="1" applyFont="1" applyFill="1" applyBorder="1" applyAlignment="1">
      <alignment horizontal="center" vertical="center" wrapText="1"/>
    </xf>
    <xf numFmtId="9" fontId="5" fillId="7" borderId="8" xfId="0" applyNumberFormat="1" applyFont="1" applyFill="1" applyBorder="1" applyAlignment="1">
      <alignment horizontal="center" vertical="center" wrapText="1"/>
    </xf>
    <xf numFmtId="10" fontId="5" fillId="0" borderId="8" xfId="0" applyNumberFormat="1" applyFont="1" applyBorder="1" applyAlignment="1">
      <alignment horizontal="center" vertical="center" wrapText="1"/>
    </xf>
    <xf numFmtId="0" fontId="5" fillId="5" borderId="7" xfId="0" applyFont="1" applyFill="1" applyBorder="1" applyAlignment="1">
      <alignment horizontal="center" vertical="center" wrapText="1"/>
    </xf>
    <xf numFmtId="0" fontId="5" fillId="5" borderId="8" xfId="0" applyFont="1" applyFill="1" applyBorder="1" applyAlignment="1">
      <alignment horizontal="center" vertical="center" wrapText="1"/>
    </xf>
    <xf numFmtId="49" fontId="5" fillId="5" borderId="8" xfId="0" applyNumberFormat="1"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9" fontId="5" fillId="13" borderId="8" xfId="0" applyNumberFormat="1" applyFont="1" applyFill="1" applyBorder="1" applyAlignment="1">
      <alignment horizontal="center" vertical="center" wrapText="1"/>
    </xf>
    <xf numFmtId="9" fontId="5" fillId="6" borderId="8" xfId="0" applyNumberFormat="1" applyFont="1" applyFill="1" applyBorder="1" applyAlignment="1">
      <alignment horizontal="center" vertical="center" wrapText="1"/>
    </xf>
    <xf numFmtId="0" fontId="13" fillId="14" borderId="8" xfId="0" applyFont="1" applyFill="1" applyBorder="1" applyAlignment="1">
      <alignment horizontal="left" vertical="center" wrapText="1"/>
    </xf>
    <xf numFmtId="0" fontId="13" fillId="0" borderId="18" xfId="0" applyFont="1" applyBorder="1" applyAlignment="1">
      <alignment horizontal="left" vertical="center" wrapText="1"/>
    </xf>
    <xf numFmtId="0" fontId="13" fillId="0" borderId="17" xfId="0" applyFont="1" applyBorder="1" applyAlignment="1">
      <alignment horizontal="left" vertical="center" wrapText="1"/>
    </xf>
    <xf numFmtId="0" fontId="13" fillId="0" borderId="10" xfId="0" applyFont="1" applyBorder="1" applyAlignment="1">
      <alignment horizontal="left" vertical="center" wrapText="1"/>
    </xf>
    <xf numFmtId="9" fontId="5" fillId="0" borderId="16" xfId="0" applyNumberFormat="1" applyFont="1" applyBorder="1" applyAlignment="1">
      <alignment horizontal="center" vertical="center" wrapText="1"/>
    </xf>
    <xf numFmtId="9" fontId="5" fillId="0" borderId="7" xfId="0" applyNumberFormat="1" applyFont="1" applyBorder="1" applyAlignment="1">
      <alignment horizontal="center" vertical="center" wrapText="1"/>
    </xf>
    <xf numFmtId="9" fontId="13" fillId="0" borderId="8" xfId="0" applyNumberFormat="1" applyFont="1" applyBorder="1" applyAlignment="1">
      <alignment horizontal="left" vertical="center" wrapText="1"/>
    </xf>
    <xf numFmtId="9" fontId="13" fillId="0" borderId="9" xfId="0" applyNumberFormat="1" applyFont="1" applyBorder="1" applyAlignment="1">
      <alignment horizontal="left" vertical="center" wrapText="1"/>
    </xf>
    <xf numFmtId="9" fontId="13" fillId="0" borderId="18" xfId="0" applyNumberFormat="1" applyFont="1" applyBorder="1" applyAlignment="1">
      <alignment horizontal="left" vertical="center" wrapText="1"/>
    </xf>
    <xf numFmtId="9" fontId="13" fillId="0" borderId="17" xfId="0" applyNumberFormat="1" applyFont="1" applyBorder="1" applyAlignment="1">
      <alignment horizontal="left" vertical="center" wrapText="1"/>
    </xf>
    <xf numFmtId="9" fontId="13" fillId="0" borderId="10" xfId="0" applyNumberFormat="1" applyFont="1" applyBorder="1" applyAlignment="1">
      <alignment horizontal="left" vertical="center" wrapText="1"/>
    </xf>
    <xf numFmtId="0" fontId="5" fillId="12" borderId="8" xfId="0" applyFont="1" applyFill="1" applyBorder="1" applyAlignment="1">
      <alignment horizontal="center" vertical="center" wrapText="1"/>
    </xf>
    <xf numFmtId="0" fontId="5" fillId="0" borderId="8" xfId="0" applyFont="1" applyBorder="1" applyAlignment="1">
      <alignment horizontal="center" vertical="center"/>
    </xf>
    <xf numFmtId="9" fontId="5" fillId="11" borderId="8" xfId="0" applyNumberFormat="1" applyFont="1" applyFill="1" applyBorder="1" applyAlignment="1">
      <alignment horizontal="center" vertical="center" wrapText="1"/>
    </xf>
    <xf numFmtId="0" fontId="5" fillId="0" borderId="7" xfId="0" applyFont="1" applyBorder="1" applyAlignment="1">
      <alignment horizontal="left" vertical="center" wrapText="1"/>
    </xf>
    <xf numFmtId="9" fontId="5" fillId="0" borderId="20" xfId="0" applyNumberFormat="1" applyFont="1" applyBorder="1" applyAlignment="1">
      <alignment horizontal="center" vertical="center" wrapText="1"/>
    </xf>
    <xf numFmtId="0" fontId="5" fillId="0" borderId="20" xfId="0" applyFont="1" applyBorder="1" applyAlignment="1">
      <alignment horizontal="center" vertical="center" wrapText="1"/>
    </xf>
    <xf numFmtId="0" fontId="5" fillId="7" borderId="8" xfId="0" applyFont="1" applyFill="1" applyBorder="1" applyAlignment="1">
      <alignment horizontal="center" vertical="center" wrapText="1"/>
    </xf>
    <xf numFmtId="9" fontId="5" fillId="10" borderId="8" xfId="0" applyNumberFormat="1" applyFont="1" applyFill="1" applyBorder="1" applyAlignment="1">
      <alignment horizontal="center" vertical="center" wrapText="1"/>
    </xf>
    <xf numFmtId="0" fontId="5" fillId="9" borderId="8" xfId="0" applyFont="1" applyFill="1" applyBorder="1" applyAlignment="1">
      <alignment horizontal="center" vertical="center" wrapText="1"/>
    </xf>
    <xf numFmtId="9" fontId="5" fillId="0" borderId="22" xfId="0" applyNumberFormat="1" applyFont="1" applyBorder="1" applyAlignment="1">
      <alignment horizontal="center" vertical="center" wrapText="1"/>
    </xf>
    <xf numFmtId="9" fontId="5" fillId="0" borderId="21" xfId="0" applyNumberFormat="1" applyFont="1" applyBorder="1" applyAlignment="1">
      <alignment horizontal="center" vertical="center" wrapText="1"/>
    </xf>
    <xf numFmtId="9" fontId="5" fillId="0" borderId="11" xfId="0" applyNumberFormat="1" applyFont="1" applyBorder="1" applyAlignment="1">
      <alignment horizontal="center" vertical="center" wrapText="1"/>
    </xf>
    <xf numFmtId="0" fontId="5" fillId="0" borderId="16" xfId="0" applyFont="1" applyBorder="1" applyAlignment="1">
      <alignment horizontal="left" vertical="center" wrapText="1"/>
    </xf>
    <xf numFmtId="0" fontId="5" fillId="0" borderId="8" xfId="0" applyFont="1" applyBorder="1" applyAlignment="1">
      <alignment horizontal="left" vertical="center" wrapText="1"/>
    </xf>
    <xf numFmtId="0" fontId="5" fillId="0" borderId="16" xfId="0" applyFont="1" applyBorder="1" applyAlignment="1">
      <alignment horizontal="justify" vertical="center" wrapText="1"/>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0" borderId="13" xfId="0" applyFont="1" applyBorder="1" applyAlignment="1">
      <alignment horizontal="center" vertical="center" wrapText="1"/>
    </xf>
    <xf numFmtId="9" fontId="5" fillId="0" borderId="13" xfId="0" applyNumberFormat="1" applyFont="1" applyBorder="1" applyAlignment="1">
      <alignment horizontal="center"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5" fillId="0" borderId="12" xfId="0" applyFont="1" applyBorder="1" applyAlignment="1">
      <alignment horizontal="center" vertical="center" wrapText="1"/>
    </xf>
    <xf numFmtId="0" fontId="5" fillId="3" borderId="15" xfId="0" applyFont="1" applyFill="1" applyBorder="1" applyAlignment="1">
      <alignment horizontal="center" vertical="center" wrapText="1"/>
    </xf>
  </cellXfs>
  <cellStyles count="3">
    <cellStyle name="Moneda 20" xfId="2" xr:uid="{2E5C7C2F-6DF3-47B9-8463-79552531FB23}"/>
    <cellStyle name="Neutral" xfId="1" builtinId="28"/>
    <cellStyle name="Normal" xfId="0" builtinId="0"/>
  </cellStyles>
  <dxfs count="50">
    <dxf>
      <fill>
        <patternFill>
          <bgColor rgb="FF00B0F0"/>
        </patternFill>
      </fill>
    </dxf>
    <dxf>
      <fill>
        <patternFill>
          <bgColor rgb="FF00B050"/>
        </patternFill>
      </fill>
    </dxf>
    <dxf>
      <fill>
        <patternFill>
          <bgColor rgb="FFFFFF00"/>
        </patternFill>
      </fill>
    </dxf>
    <dxf>
      <font>
        <color auto="1"/>
      </font>
      <fill>
        <patternFill>
          <bgColor rgb="FFFF0000"/>
        </patternFill>
      </fill>
    </dxf>
    <dxf>
      <fill>
        <patternFill>
          <bgColor rgb="FFFFC000"/>
        </patternFill>
      </fill>
    </dxf>
    <dxf>
      <fill>
        <patternFill>
          <bgColor rgb="FF00B0F0"/>
        </patternFill>
      </fill>
    </dxf>
    <dxf>
      <fill>
        <patternFill>
          <bgColor rgb="FF00B050"/>
        </patternFill>
      </fill>
    </dxf>
    <dxf>
      <fill>
        <patternFill>
          <bgColor rgb="FFFFFF00"/>
        </patternFill>
      </fill>
    </dxf>
    <dxf>
      <font>
        <color auto="1"/>
      </font>
      <fill>
        <patternFill>
          <bgColor rgb="FFFF0000"/>
        </patternFill>
      </fill>
    </dxf>
    <dxf>
      <fill>
        <patternFill>
          <bgColor rgb="FFFFC000"/>
        </patternFill>
      </fill>
    </dxf>
    <dxf>
      <fill>
        <patternFill>
          <bgColor rgb="FF00B0F0"/>
        </patternFill>
      </fill>
    </dxf>
    <dxf>
      <fill>
        <patternFill>
          <bgColor rgb="FF00B050"/>
        </patternFill>
      </fill>
    </dxf>
    <dxf>
      <fill>
        <patternFill>
          <bgColor rgb="FFFFFF00"/>
        </patternFill>
      </fill>
    </dxf>
    <dxf>
      <font>
        <color auto="1"/>
      </font>
      <fill>
        <patternFill>
          <bgColor rgb="FFFF0000"/>
        </patternFill>
      </fill>
    </dxf>
    <dxf>
      <fill>
        <patternFill>
          <bgColor rgb="FFFFC000"/>
        </patternFill>
      </fill>
    </dxf>
    <dxf>
      <fill>
        <patternFill>
          <bgColor rgb="FF00B0F0"/>
        </patternFill>
      </fill>
    </dxf>
    <dxf>
      <fill>
        <patternFill>
          <bgColor rgb="FF00B050"/>
        </patternFill>
      </fill>
    </dxf>
    <dxf>
      <fill>
        <patternFill>
          <bgColor rgb="FFFFFF00"/>
        </patternFill>
      </fill>
    </dxf>
    <dxf>
      <font>
        <color auto="1"/>
      </font>
      <fill>
        <patternFill>
          <bgColor rgb="FFFF0000"/>
        </patternFill>
      </fill>
    </dxf>
    <dxf>
      <fill>
        <patternFill>
          <bgColor rgb="FFFFC000"/>
        </patternFill>
      </fill>
    </dxf>
    <dxf>
      <fill>
        <patternFill>
          <bgColor rgb="FF00B0F0"/>
        </patternFill>
      </fill>
    </dxf>
    <dxf>
      <fill>
        <patternFill>
          <bgColor rgb="FF00B050"/>
        </patternFill>
      </fill>
    </dxf>
    <dxf>
      <fill>
        <patternFill>
          <bgColor rgb="FFFFFF00"/>
        </patternFill>
      </fill>
    </dxf>
    <dxf>
      <font>
        <color auto="1"/>
      </font>
      <fill>
        <patternFill>
          <bgColor rgb="FFFF0000"/>
        </patternFill>
      </fill>
    </dxf>
    <dxf>
      <fill>
        <patternFill>
          <bgColor rgb="FFFFC000"/>
        </patternFill>
      </fill>
    </dxf>
    <dxf>
      <fill>
        <patternFill>
          <bgColor rgb="FF00B0F0"/>
        </patternFill>
      </fill>
    </dxf>
    <dxf>
      <fill>
        <patternFill>
          <bgColor rgb="FF00B050"/>
        </patternFill>
      </fill>
    </dxf>
    <dxf>
      <fill>
        <patternFill>
          <bgColor rgb="FFFFFF00"/>
        </patternFill>
      </fill>
    </dxf>
    <dxf>
      <font>
        <color auto="1"/>
      </font>
      <fill>
        <patternFill>
          <bgColor rgb="FFFF0000"/>
        </patternFill>
      </fill>
    </dxf>
    <dxf>
      <fill>
        <patternFill>
          <bgColor rgb="FFFFC000"/>
        </patternFill>
      </fill>
    </dxf>
    <dxf>
      <fill>
        <patternFill>
          <bgColor rgb="FF00B0F0"/>
        </patternFill>
      </fill>
    </dxf>
    <dxf>
      <fill>
        <patternFill>
          <bgColor rgb="FF00B050"/>
        </patternFill>
      </fill>
    </dxf>
    <dxf>
      <fill>
        <patternFill>
          <bgColor rgb="FFFFFF00"/>
        </patternFill>
      </fill>
    </dxf>
    <dxf>
      <font>
        <color auto="1"/>
      </font>
      <fill>
        <patternFill>
          <bgColor rgb="FFFF0000"/>
        </patternFill>
      </fill>
    </dxf>
    <dxf>
      <fill>
        <patternFill>
          <bgColor rgb="FFFFC000"/>
        </patternFill>
      </fill>
    </dxf>
    <dxf>
      <fill>
        <patternFill>
          <bgColor rgb="FF00B0F0"/>
        </patternFill>
      </fill>
    </dxf>
    <dxf>
      <fill>
        <patternFill>
          <bgColor rgb="FF00B050"/>
        </patternFill>
      </fill>
    </dxf>
    <dxf>
      <fill>
        <patternFill>
          <bgColor rgb="FFFFFF00"/>
        </patternFill>
      </fill>
    </dxf>
    <dxf>
      <font>
        <color auto="1"/>
      </font>
      <fill>
        <patternFill>
          <bgColor rgb="FFFF0000"/>
        </patternFill>
      </fill>
    </dxf>
    <dxf>
      <fill>
        <patternFill>
          <bgColor rgb="FFFFC000"/>
        </patternFill>
      </fill>
    </dxf>
    <dxf>
      <fill>
        <patternFill>
          <bgColor rgb="FF00B0F0"/>
        </patternFill>
      </fill>
    </dxf>
    <dxf>
      <fill>
        <patternFill>
          <bgColor rgb="FF00B050"/>
        </patternFill>
      </fill>
    </dxf>
    <dxf>
      <fill>
        <patternFill>
          <bgColor rgb="FFFFFF00"/>
        </patternFill>
      </fill>
    </dxf>
    <dxf>
      <font>
        <color auto="1"/>
      </font>
      <fill>
        <patternFill>
          <bgColor rgb="FFFF0000"/>
        </patternFill>
      </fill>
    </dxf>
    <dxf>
      <fill>
        <patternFill>
          <bgColor rgb="FFFFC000"/>
        </patternFill>
      </fill>
    </dxf>
    <dxf>
      <fill>
        <patternFill>
          <bgColor rgb="FF00B0F0"/>
        </patternFill>
      </fill>
    </dxf>
    <dxf>
      <fill>
        <patternFill>
          <bgColor rgb="FF00B050"/>
        </patternFill>
      </fill>
    </dxf>
    <dxf>
      <fill>
        <patternFill>
          <bgColor rgb="FFFFFF0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599FA5"/>
      <color rgb="FF8F82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563217</xdr:colOff>
      <xdr:row>0</xdr:row>
      <xdr:rowOff>33132</xdr:rowOff>
    </xdr:from>
    <xdr:ext cx="877956" cy="586823"/>
    <xdr:pic>
      <xdr:nvPicPr>
        <xdr:cNvPr id="2" name="Imagen 1">
          <a:extLst>
            <a:ext uri="{FF2B5EF4-FFF2-40B4-BE49-F238E27FC236}">
              <a16:creationId xmlns:a16="http://schemas.microsoft.com/office/drawing/2014/main" id="{88A22A05-7071-4CA3-94BF-48E29D347A7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3217" y="33132"/>
          <a:ext cx="877956" cy="586823"/>
        </a:xfrm>
        <a:prstGeom prst="rect">
          <a:avLst/>
        </a:prstGeom>
        <a:noFill/>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0F9D3-C674-4958-884E-6BC86E224078}">
  <dimension ref="B2:B8"/>
  <sheetViews>
    <sheetView workbookViewId="0">
      <selection activeCell="B7" sqref="B7"/>
    </sheetView>
  </sheetViews>
  <sheetFormatPr baseColWidth="10" defaultRowHeight="15" x14ac:dyDescent="0.25"/>
  <cols>
    <col min="1" max="1" width="5.42578125" customWidth="1"/>
    <col min="2" max="2" width="64.140625" customWidth="1"/>
  </cols>
  <sheetData>
    <row r="2" spans="2:2" ht="63" x14ac:dyDescent="0.25">
      <c r="B2" s="14" t="s">
        <v>686</v>
      </c>
    </row>
    <row r="3" spans="2:2" ht="78.75" x14ac:dyDescent="0.25">
      <c r="B3" s="18" t="s">
        <v>687</v>
      </c>
    </row>
    <row r="7" spans="2:2" ht="18.75" x14ac:dyDescent="0.3">
      <c r="B7" s="31" t="s">
        <v>688</v>
      </c>
    </row>
    <row r="8" spans="2:2" ht="18.75" x14ac:dyDescent="0.3">
      <c r="B8" s="31" t="s">
        <v>689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AB04E-E888-483C-BD29-7E50C05B4095}">
  <dimension ref="A1:AL722"/>
  <sheetViews>
    <sheetView showGridLines="0" tabSelected="1" zoomScale="70" zoomScaleNormal="70" zoomScaleSheetLayoutView="100" workbookViewId="0">
      <pane xSplit="4" ySplit="4" topLeftCell="E5" activePane="bottomRight" state="frozen"/>
      <selection pane="topRight" activeCell="E1" sqref="E1"/>
      <selection pane="bottomLeft" activeCell="A5" sqref="A5"/>
      <selection pane="bottomRight" activeCell="G12" sqref="G12"/>
    </sheetView>
  </sheetViews>
  <sheetFormatPr baseColWidth="10" defaultColWidth="10.85546875" defaultRowHeight="15.75" x14ac:dyDescent="0.25"/>
  <cols>
    <col min="1" max="1" width="31" style="7" customWidth="1"/>
    <col min="2" max="2" width="16.5703125" style="6" customWidth="1"/>
    <col min="3" max="3" width="13.5703125" style="6" customWidth="1"/>
    <col min="4" max="4" width="23" style="6" customWidth="1"/>
    <col min="5" max="5" width="28" style="6" customWidth="1"/>
    <col min="6" max="6" width="21.85546875" style="6" customWidth="1"/>
    <col min="7" max="7" width="69.5703125" style="7" customWidth="1"/>
    <col min="8" max="9" width="17.140625" style="8" customWidth="1"/>
    <col min="10" max="10" width="33.28515625" style="7" customWidth="1"/>
    <col min="11" max="11" width="26.7109375" style="7" customWidth="1"/>
    <col min="12" max="12" width="27.42578125" style="7" customWidth="1"/>
    <col min="13" max="15" width="26.28515625" style="6" customWidth="1"/>
    <col min="16" max="18" width="17.28515625" style="6" customWidth="1"/>
    <col min="19" max="19" width="59.42578125" style="6" customWidth="1"/>
    <col min="20" max="20" width="40.7109375" style="6" customWidth="1"/>
    <col min="21" max="21" width="57.5703125" style="6" customWidth="1"/>
    <col min="22" max="24" width="26.28515625" style="6" customWidth="1"/>
    <col min="25" max="27" width="17.28515625" style="6" customWidth="1"/>
    <col min="28" max="28" width="78.28515625" style="6" customWidth="1"/>
    <col min="29" max="29" width="47.5703125" style="6" customWidth="1"/>
    <col min="30" max="30" width="65.85546875" style="6" customWidth="1"/>
    <col min="31" max="33" width="26.28515625" style="5" customWidth="1"/>
    <col min="34" max="36" width="17.28515625" style="5" customWidth="1"/>
    <col min="37" max="37" width="78.28515625" style="5" customWidth="1"/>
    <col min="38" max="38" width="47.5703125" style="5" customWidth="1"/>
    <col min="39" max="16384" width="10.85546875" style="5"/>
  </cols>
  <sheetData>
    <row r="1" spans="1:38" ht="29.25" customHeight="1" thickBot="1" x14ac:dyDescent="0.3">
      <c r="A1" s="1"/>
      <c r="B1" s="2"/>
      <c r="C1" s="3"/>
      <c r="D1" s="4"/>
      <c r="E1" s="4"/>
      <c r="F1" s="4"/>
      <c r="G1" s="4"/>
      <c r="H1" s="4"/>
      <c r="I1" s="4"/>
      <c r="J1" s="4"/>
      <c r="K1" s="4"/>
      <c r="L1" s="4"/>
      <c r="M1" s="4"/>
      <c r="N1" s="4"/>
      <c r="O1" s="4" t="s">
        <v>1450</v>
      </c>
      <c r="P1" s="4"/>
      <c r="Q1" s="4"/>
      <c r="R1" s="4"/>
      <c r="S1" s="4"/>
      <c r="T1" s="4"/>
      <c r="U1" s="4"/>
      <c r="V1" s="4"/>
      <c r="W1" s="4"/>
      <c r="X1" s="4"/>
      <c r="Y1" s="4"/>
      <c r="Z1" s="4"/>
      <c r="AA1" s="4"/>
      <c r="AB1" s="4"/>
      <c r="AC1" s="4"/>
      <c r="AD1" s="4"/>
    </row>
    <row r="2" spans="1:38" ht="21.75" customHeight="1" thickBot="1" x14ac:dyDescent="0.3">
      <c r="A2" s="78"/>
      <c r="B2" s="103" t="s">
        <v>0</v>
      </c>
      <c r="C2" s="104"/>
      <c r="D2" s="104"/>
      <c r="E2" s="104"/>
      <c r="F2" s="104"/>
      <c r="G2" s="104"/>
      <c r="H2" s="104"/>
      <c r="I2" s="104"/>
      <c r="J2" s="104"/>
      <c r="K2" s="104"/>
      <c r="L2" s="105"/>
      <c r="M2" s="86" t="s">
        <v>1449</v>
      </c>
      <c r="N2" s="87"/>
      <c r="O2" s="87"/>
      <c r="P2" s="87"/>
      <c r="Q2" s="87"/>
      <c r="R2" s="87"/>
      <c r="S2" s="87"/>
      <c r="T2" s="87"/>
      <c r="U2" s="88"/>
      <c r="V2" s="89" t="s">
        <v>1448</v>
      </c>
      <c r="W2" s="90"/>
      <c r="X2" s="90"/>
      <c r="Y2" s="90"/>
      <c r="Z2" s="90"/>
      <c r="AA2" s="90"/>
      <c r="AB2" s="90"/>
      <c r="AC2" s="90"/>
      <c r="AD2" s="91"/>
      <c r="AE2" s="92" t="s">
        <v>1447</v>
      </c>
      <c r="AF2" s="93"/>
      <c r="AG2" s="93"/>
      <c r="AH2" s="93"/>
      <c r="AI2" s="93"/>
      <c r="AJ2" s="93"/>
      <c r="AK2" s="93"/>
      <c r="AL2" s="93"/>
    </row>
    <row r="3" spans="1:38" ht="17.25" hidden="1" customHeight="1" thickBot="1" x14ac:dyDescent="0.3">
      <c r="A3" s="78"/>
      <c r="B3" s="77"/>
      <c r="M3" s="76"/>
      <c r="N3" s="75"/>
      <c r="O3" s="75"/>
      <c r="P3" s="75"/>
      <c r="Q3" s="75"/>
      <c r="R3" s="75"/>
      <c r="S3" s="75"/>
      <c r="T3" s="75"/>
      <c r="U3" s="74"/>
      <c r="V3" s="73"/>
      <c r="W3" s="72"/>
      <c r="X3" s="72"/>
      <c r="Y3" s="72"/>
      <c r="Z3" s="72"/>
      <c r="AA3" s="72"/>
      <c r="AB3" s="72"/>
      <c r="AC3" s="72"/>
      <c r="AD3" s="71"/>
      <c r="AE3" s="70"/>
      <c r="AF3" s="69"/>
      <c r="AG3" s="69"/>
      <c r="AH3" s="69"/>
      <c r="AI3" s="69"/>
      <c r="AJ3" s="69"/>
      <c r="AK3" s="69"/>
      <c r="AL3" s="69"/>
    </row>
    <row r="4" spans="1:38" s="9" customFormat="1" ht="47.25" customHeight="1" x14ac:dyDescent="0.25">
      <c r="A4" s="68" t="s">
        <v>1</v>
      </c>
      <c r="B4" s="64" t="s">
        <v>2</v>
      </c>
      <c r="C4" s="64" t="s">
        <v>3</v>
      </c>
      <c r="D4" s="64" t="s">
        <v>4</v>
      </c>
      <c r="E4" s="64" t="s">
        <v>5</v>
      </c>
      <c r="F4" s="64" t="s">
        <v>6</v>
      </c>
      <c r="G4" s="64" t="s">
        <v>7</v>
      </c>
      <c r="H4" s="67" t="s">
        <v>8</v>
      </c>
      <c r="I4" s="67" t="s">
        <v>9</v>
      </c>
      <c r="J4" s="66" t="s">
        <v>10</v>
      </c>
      <c r="K4" s="65" t="s">
        <v>11</v>
      </c>
      <c r="L4" s="64" t="s">
        <v>12</v>
      </c>
      <c r="M4" s="63" t="s">
        <v>13</v>
      </c>
      <c r="N4" s="62" t="s">
        <v>1446</v>
      </c>
      <c r="O4" s="62" t="s">
        <v>1445</v>
      </c>
      <c r="P4" s="62" t="s">
        <v>1444</v>
      </c>
      <c r="Q4" s="62" t="s">
        <v>1430</v>
      </c>
      <c r="R4" s="62" t="s">
        <v>1443</v>
      </c>
      <c r="S4" s="62" t="s">
        <v>1442</v>
      </c>
      <c r="T4" s="62" t="s">
        <v>1441</v>
      </c>
      <c r="U4" s="61" t="s">
        <v>1440</v>
      </c>
      <c r="V4" s="60" t="s">
        <v>13</v>
      </c>
      <c r="W4" s="59" t="s">
        <v>1439</v>
      </c>
      <c r="X4" s="59" t="s">
        <v>1438</v>
      </c>
      <c r="Y4" s="59" t="s">
        <v>1437</v>
      </c>
      <c r="Z4" s="59" t="s">
        <v>1430</v>
      </c>
      <c r="AA4" s="59" t="s">
        <v>1429</v>
      </c>
      <c r="AB4" s="59" t="s">
        <v>1436</v>
      </c>
      <c r="AC4" s="59" t="s">
        <v>1435</v>
      </c>
      <c r="AD4" s="58" t="s">
        <v>1434</v>
      </c>
      <c r="AE4" s="57" t="s">
        <v>13</v>
      </c>
      <c r="AF4" s="56" t="s">
        <v>1433</v>
      </c>
      <c r="AG4" s="56" t="s">
        <v>1432</v>
      </c>
      <c r="AH4" s="56" t="s">
        <v>1431</v>
      </c>
      <c r="AI4" s="56" t="s">
        <v>1430</v>
      </c>
      <c r="AJ4" s="56" t="s">
        <v>1429</v>
      </c>
      <c r="AK4" s="56" t="s">
        <v>1428</v>
      </c>
      <c r="AL4" s="56" t="s">
        <v>1427</v>
      </c>
    </row>
    <row r="5" spans="1:38" ht="27" customHeight="1" x14ac:dyDescent="0.25">
      <c r="A5" s="94" t="s">
        <v>14</v>
      </c>
      <c r="B5" s="95" t="s">
        <v>15</v>
      </c>
      <c r="C5" s="96" t="s">
        <v>16</v>
      </c>
      <c r="D5" s="95" t="s">
        <v>17</v>
      </c>
      <c r="E5" s="95" t="s">
        <v>18</v>
      </c>
      <c r="F5" s="95" t="s">
        <v>19</v>
      </c>
      <c r="G5" s="10" t="s">
        <v>20</v>
      </c>
      <c r="H5" s="11">
        <v>43466</v>
      </c>
      <c r="I5" s="11">
        <v>43480</v>
      </c>
      <c r="J5" s="35" t="s">
        <v>21</v>
      </c>
      <c r="K5" s="97" t="s">
        <v>22</v>
      </c>
      <c r="L5" s="95" t="s">
        <v>23</v>
      </c>
      <c r="M5" s="94" t="s">
        <v>24</v>
      </c>
      <c r="N5" s="95" t="s">
        <v>1423</v>
      </c>
      <c r="O5" s="95" t="s">
        <v>1419</v>
      </c>
      <c r="P5" s="98" t="str">
        <f>IFERROR((1/0),"No aplica")</f>
        <v>No aplica</v>
      </c>
      <c r="Q5" s="98">
        <f>1/3</f>
        <v>0.33333333333333331</v>
      </c>
      <c r="R5" s="95" t="s">
        <v>692</v>
      </c>
      <c r="S5" s="99" t="s">
        <v>1426</v>
      </c>
      <c r="T5" s="99" t="s">
        <v>1425</v>
      </c>
      <c r="U5" s="100" t="s">
        <v>1424</v>
      </c>
      <c r="V5" s="94" t="s">
        <v>24</v>
      </c>
      <c r="W5" s="102" t="s">
        <v>1419</v>
      </c>
      <c r="X5" s="95" t="s">
        <v>1423</v>
      </c>
      <c r="Y5" s="101">
        <f>IFERROR((0/1),"No aplica")</f>
        <v>0</v>
      </c>
      <c r="Z5" s="101">
        <f>1/3</f>
        <v>0.33333333333333331</v>
      </c>
      <c r="AA5" s="95" t="s">
        <v>692</v>
      </c>
      <c r="AB5" s="99" t="s">
        <v>1422</v>
      </c>
      <c r="AC5" s="99" t="s">
        <v>1421</v>
      </c>
      <c r="AD5" s="100" t="s">
        <v>1420</v>
      </c>
      <c r="AE5" s="94" t="s">
        <v>24</v>
      </c>
      <c r="AF5" s="102" t="s">
        <v>1419</v>
      </c>
      <c r="AG5" s="102" t="s">
        <v>1419</v>
      </c>
      <c r="AH5" s="101">
        <f>IFERROR((1/1),"No aplica")</f>
        <v>1</v>
      </c>
      <c r="AI5" s="101">
        <f>2/3</f>
        <v>0.66666666666666663</v>
      </c>
      <c r="AJ5" s="95" t="s">
        <v>692</v>
      </c>
      <c r="AK5" s="99" t="s">
        <v>1418</v>
      </c>
      <c r="AL5" s="99" t="s">
        <v>1417</v>
      </c>
    </row>
    <row r="6" spans="1:38" ht="27" customHeight="1" x14ac:dyDescent="0.25">
      <c r="A6" s="94"/>
      <c r="B6" s="95"/>
      <c r="C6" s="96"/>
      <c r="D6" s="95"/>
      <c r="E6" s="95"/>
      <c r="F6" s="95"/>
      <c r="G6" s="10" t="s">
        <v>25</v>
      </c>
      <c r="H6" s="11">
        <v>43466</v>
      </c>
      <c r="I6" s="11">
        <v>43495</v>
      </c>
      <c r="J6" s="35" t="s">
        <v>21</v>
      </c>
      <c r="K6" s="97"/>
      <c r="L6" s="95"/>
      <c r="M6" s="94"/>
      <c r="N6" s="95"/>
      <c r="O6" s="95"/>
      <c r="P6" s="98"/>
      <c r="Q6" s="98"/>
      <c r="R6" s="95"/>
      <c r="S6" s="99"/>
      <c r="T6" s="99"/>
      <c r="U6" s="100"/>
      <c r="V6" s="94"/>
      <c r="W6" s="102"/>
      <c r="X6" s="95"/>
      <c r="Y6" s="101"/>
      <c r="Z6" s="101"/>
      <c r="AA6" s="95"/>
      <c r="AB6" s="99"/>
      <c r="AC6" s="99"/>
      <c r="AD6" s="100"/>
      <c r="AE6" s="94"/>
      <c r="AF6" s="102"/>
      <c r="AG6" s="95"/>
      <c r="AH6" s="101"/>
      <c r="AI6" s="101"/>
      <c r="AJ6" s="95"/>
      <c r="AK6" s="99"/>
      <c r="AL6" s="99"/>
    </row>
    <row r="7" spans="1:38" ht="27" customHeight="1" x14ac:dyDescent="0.25">
      <c r="A7" s="94"/>
      <c r="B7" s="95"/>
      <c r="C7" s="96"/>
      <c r="D7" s="95"/>
      <c r="E7" s="95"/>
      <c r="F7" s="95"/>
      <c r="G7" s="10" t="s">
        <v>26</v>
      </c>
      <c r="H7" s="11">
        <v>43497</v>
      </c>
      <c r="I7" s="11">
        <v>43830</v>
      </c>
      <c r="J7" s="35" t="s">
        <v>21</v>
      </c>
      <c r="K7" s="97"/>
      <c r="L7" s="95"/>
      <c r="M7" s="94"/>
      <c r="N7" s="95"/>
      <c r="O7" s="95"/>
      <c r="P7" s="98"/>
      <c r="Q7" s="98"/>
      <c r="R7" s="95"/>
      <c r="S7" s="99"/>
      <c r="T7" s="99"/>
      <c r="U7" s="100"/>
      <c r="V7" s="94"/>
      <c r="W7" s="102"/>
      <c r="X7" s="95"/>
      <c r="Y7" s="101"/>
      <c r="Z7" s="101"/>
      <c r="AA7" s="95"/>
      <c r="AB7" s="99"/>
      <c r="AC7" s="99"/>
      <c r="AD7" s="100"/>
      <c r="AE7" s="94"/>
      <c r="AF7" s="102"/>
      <c r="AG7" s="95"/>
      <c r="AH7" s="101"/>
      <c r="AI7" s="101"/>
      <c r="AJ7" s="95"/>
      <c r="AK7" s="99"/>
      <c r="AL7" s="99"/>
    </row>
    <row r="8" spans="1:38" ht="27" customHeight="1" x14ac:dyDescent="0.25">
      <c r="A8" s="94"/>
      <c r="B8" s="95"/>
      <c r="C8" s="96"/>
      <c r="D8" s="95"/>
      <c r="E8" s="95"/>
      <c r="F8" s="95"/>
      <c r="G8" s="10" t="s">
        <v>27</v>
      </c>
      <c r="H8" s="11">
        <v>43497</v>
      </c>
      <c r="I8" s="11">
        <v>43830</v>
      </c>
      <c r="J8" s="35" t="s">
        <v>21</v>
      </c>
      <c r="K8" s="97"/>
      <c r="L8" s="95"/>
      <c r="M8" s="94"/>
      <c r="N8" s="95"/>
      <c r="O8" s="95"/>
      <c r="P8" s="98"/>
      <c r="Q8" s="98"/>
      <c r="R8" s="95"/>
      <c r="S8" s="99"/>
      <c r="T8" s="99"/>
      <c r="U8" s="100"/>
      <c r="V8" s="94"/>
      <c r="W8" s="102"/>
      <c r="X8" s="95"/>
      <c r="Y8" s="101"/>
      <c r="Z8" s="101"/>
      <c r="AA8" s="95"/>
      <c r="AB8" s="99"/>
      <c r="AC8" s="99"/>
      <c r="AD8" s="100"/>
      <c r="AE8" s="94"/>
      <c r="AF8" s="102"/>
      <c r="AG8" s="95"/>
      <c r="AH8" s="101"/>
      <c r="AI8" s="101"/>
      <c r="AJ8" s="95"/>
      <c r="AK8" s="99"/>
      <c r="AL8" s="99"/>
    </row>
    <row r="9" spans="1:38" ht="27" customHeight="1" x14ac:dyDescent="0.25">
      <c r="A9" s="94"/>
      <c r="B9" s="95"/>
      <c r="C9" s="96"/>
      <c r="D9" s="95"/>
      <c r="E9" s="95"/>
      <c r="F9" s="95"/>
      <c r="G9" s="10" t="s">
        <v>28</v>
      </c>
      <c r="H9" s="11">
        <v>43525</v>
      </c>
      <c r="I9" s="11">
        <v>43830</v>
      </c>
      <c r="J9" s="35" t="s">
        <v>21</v>
      </c>
      <c r="K9" s="97"/>
      <c r="L9" s="95"/>
      <c r="M9" s="94"/>
      <c r="N9" s="95"/>
      <c r="O9" s="95"/>
      <c r="P9" s="98"/>
      <c r="Q9" s="98"/>
      <c r="R9" s="95"/>
      <c r="S9" s="99"/>
      <c r="T9" s="99"/>
      <c r="U9" s="100"/>
      <c r="V9" s="94"/>
      <c r="W9" s="102"/>
      <c r="X9" s="95"/>
      <c r="Y9" s="101"/>
      <c r="Z9" s="101"/>
      <c r="AA9" s="95"/>
      <c r="AB9" s="99"/>
      <c r="AC9" s="99"/>
      <c r="AD9" s="100"/>
      <c r="AE9" s="94"/>
      <c r="AF9" s="102"/>
      <c r="AG9" s="95"/>
      <c r="AH9" s="101"/>
      <c r="AI9" s="101"/>
      <c r="AJ9" s="95"/>
      <c r="AK9" s="99"/>
      <c r="AL9" s="99"/>
    </row>
    <row r="10" spans="1:38" ht="45" customHeight="1" x14ac:dyDescent="0.25">
      <c r="A10" s="94" t="s">
        <v>14</v>
      </c>
      <c r="B10" s="95" t="s">
        <v>15</v>
      </c>
      <c r="C10" s="96" t="s">
        <v>29</v>
      </c>
      <c r="D10" s="95" t="s">
        <v>30</v>
      </c>
      <c r="E10" s="95">
        <v>0</v>
      </c>
      <c r="F10" s="95" t="s">
        <v>31</v>
      </c>
      <c r="G10" s="10" t="s">
        <v>32</v>
      </c>
      <c r="H10" s="11">
        <v>43497</v>
      </c>
      <c r="I10" s="11">
        <v>43585</v>
      </c>
      <c r="J10" s="35" t="s">
        <v>21</v>
      </c>
      <c r="K10" s="97" t="s">
        <v>22</v>
      </c>
      <c r="L10" s="95" t="s">
        <v>23</v>
      </c>
      <c r="M10" s="94" t="s">
        <v>33</v>
      </c>
      <c r="N10" s="95" t="s">
        <v>1416</v>
      </c>
      <c r="O10" s="95" t="s">
        <v>1416</v>
      </c>
      <c r="P10" s="98" t="str">
        <f>IFERROR((0/0),"No aplica")</f>
        <v>No aplica</v>
      </c>
      <c r="Q10" s="98">
        <f>IFERROR((0/4),"No aplica")</f>
        <v>0</v>
      </c>
      <c r="R10" s="95" t="s">
        <v>697</v>
      </c>
      <c r="S10" s="99" t="s">
        <v>1415</v>
      </c>
      <c r="T10" s="106" t="s">
        <v>1414</v>
      </c>
      <c r="U10" s="107" t="s">
        <v>1413</v>
      </c>
      <c r="V10" s="94" t="s">
        <v>33</v>
      </c>
      <c r="W10" s="102" t="s">
        <v>1412</v>
      </c>
      <c r="X10" s="95" t="s">
        <v>1411</v>
      </c>
      <c r="Y10" s="101">
        <f>IFERROR((0/1),"No aplica")</f>
        <v>0</v>
      </c>
      <c r="Z10" s="101">
        <f>IFERROR((0/4),"No aplica")</f>
        <v>0</v>
      </c>
      <c r="AA10" s="95" t="s">
        <v>703</v>
      </c>
      <c r="AB10" s="99" t="s">
        <v>1410</v>
      </c>
      <c r="AC10" s="106" t="s">
        <v>1409</v>
      </c>
      <c r="AD10" s="107" t="s">
        <v>1408</v>
      </c>
      <c r="AE10" s="94" t="s">
        <v>33</v>
      </c>
      <c r="AF10" s="102" t="s">
        <v>1407</v>
      </c>
      <c r="AG10" s="102" t="s">
        <v>1407</v>
      </c>
      <c r="AH10" s="101">
        <f>IFERROR((2/2),"No aplica")</f>
        <v>1</v>
      </c>
      <c r="AI10" s="101">
        <f>IFERROR((2/4),"No aplica")</f>
        <v>0.5</v>
      </c>
      <c r="AJ10" s="95" t="s">
        <v>713</v>
      </c>
      <c r="AK10" s="99" t="s">
        <v>1406</v>
      </c>
      <c r="AL10" s="106" t="s">
        <v>1405</v>
      </c>
    </row>
    <row r="11" spans="1:38" ht="45" customHeight="1" x14ac:dyDescent="0.25">
      <c r="A11" s="94"/>
      <c r="B11" s="95"/>
      <c r="C11" s="96"/>
      <c r="D11" s="95"/>
      <c r="E11" s="95"/>
      <c r="F11" s="95"/>
      <c r="G11" s="81" t="s">
        <v>34</v>
      </c>
      <c r="H11" s="12">
        <v>43586</v>
      </c>
      <c r="I11" s="12" t="s">
        <v>35</v>
      </c>
      <c r="J11" s="35" t="s">
        <v>21</v>
      </c>
      <c r="K11" s="97"/>
      <c r="L11" s="95"/>
      <c r="M11" s="94"/>
      <c r="N11" s="95"/>
      <c r="O11" s="95"/>
      <c r="P11" s="98"/>
      <c r="Q11" s="98"/>
      <c r="R11" s="95"/>
      <c r="S11" s="99"/>
      <c r="T11" s="106"/>
      <c r="U11" s="107"/>
      <c r="V11" s="94"/>
      <c r="W11" s="102"/>
      <c r="X11" s="95"/>
      <c r="Y11" s="101"/>
      <c r="Z11" s="101"/>
      <c r="AA11" s="95"/>
      <c r="AB11" s="99"/>
      <c r="AC11" s="106"/>
      <c r="AD11" s="107"/>
      <c r="AE11" s="94"/>
      <c r="AF11" s="102"/>
      <c r="AG11" s="102"/>
      <c r="AH11" s="101"/>
      <c r="AI11" s="101"/>
      <c r="AJ11" s="95"/>
      <c r="AK11" s="99"/>
      <c r="AL11" s="106"/>
    </row>
    <row r="12" spans="1:38" ht="45" customHeight="1" x14ac:dyDescent="0.25">
      <c r="A12" s="94"/>
      <c r="B12" s="95"/>
      <c r="C12" s="96"/>
      <c r="D12" s="95"/>
      <c r="E12" s="95"/>
      <c r="F12" s="95"/>
      <c r="G12" s="10" t="s">
        <v>36</v>
      </c>
      <c r="H12" s="11">
        <v>43617</v>
      </c>
      <c r="I12" s="11">
        <v>43830</v>
      </c>
      <c r="J12" s="35" t="s">
        <v>21</v>
      </c>
      <c r="K12" s="97"/>
      <c r="L12" s="95"/>
      <c r="M12" s="94"/>
      <c r="N12" s="95"/>
      <c r="O12" s="95"/>
      <c r="P12" s="98"/>
      <c r="Q12" s="98"/>
      <c r="R12" s="95"/>
      <c r="S12" s="99"/>
      <c r="T12" s="106"/>
      <c r="U12" s="107"/>
      <c r="V12" s="94"/>
      <c r="W12" s="102"/>
      <c r="X12" s="95"/>
      <c r="Y12" s="101"/>
      <c r="Z12" s="101"/>
      <c r="AA12" s="95"/>
      <c r="AB12" s="99"/>
      <c r="AC12" s="106"/>
      <c r="AD12" s="107"/>
      <c r="AE12" s="94"/>
      <c r="AF12" s="102"/>
      <c r="AG12" s="102"/>
      <c r="AH12" s="101"/>
      <c r="AI12" s="101"/>
      <c r="AJ12" s="95"/>
      <c r="AK12" s="99"/>
      <c r="AL12" s="106"/>
    </row>
    <row r="13" spans="1:38" ht="45" customHeight="1" x14ac:dyDescent="0.25">
      <c r="A13" s="94"/>
      <c r="B13" s="95"/>
      <c r="C13" s="96"/>
      <c r="D13" s="95"/>
      <c r="E13" s="95"/>
      <c r="F13" s="95"/>
      <c r="G13" s="81" t="s">
        <v>37</v>
      </c>
      <c r="H13" s="11">
        <v>43586</v>
      </c>
      <c r="I13" s="11">
        <v>43830</v>
      </c>
      <c r="J13" s="35" t="s">
        <v>21</v>
      </c>
      <c r="K13" s="97"/>
      <c r="L13" s="95"/>
      <c r="M13" s="94"/>
      <c r="N13" s="95"/>
      <c r="O13" s="95"/>
      <c r="P13" s="98"/>
      <c r="Q13" s="98"/>
      <c r="R13" s="95"/>
      <c r="S13" s="99"/>
      <c r="T13" s="106"/>
      <c r="U13" s="107"/>
      <c r="V13" s="94"/>
      <c r="W13" s="102"/>
      <c r="X13" s="95"/>
      <c r="Y13" s="101"/>
      <c r="Z13" s="101"/>
      <c r="AA13" s="95"/>
      <c r="AB13" s="99"/>
      <c r="AC13" s="106"/>
      <c r="AD13" s="107"/>
      <c r="AE13" s="94"/>
      <c r="AF13" s="102"/>
      <c r="AG13" s="102"/>
      <c r="AH13" s="101"/>
      <c r="AI13" s="101"/>
      <c r="AJ13" s="95"/>
      <c r="AK13" s="99"/>
      <c r="AL13" s="106"/>
    </row>
    <row r="14" spans="1:38" ht="45" customHeight="1" x14ac:dyDescent="0.25">
      <c r="A14" s="94"/>
      <c r="B14" s="95"/>
      <c r="C14" s="96"/>
      <c r="D14" s="95"/>
      <c r="E14" s="95"/>
      <c r="F14" s="95"/>
      <c r="G14" s="81" t="s">
        <v>38</v>
      </c>
      <c r="H14" s="11">
        <v>43617</v>
      </c>
      <c r="I14" s="11">
        <v>43830</v>
      </c>
      <c r="J14" s="35" t="s">
        <v>21</v>
      </c>
      <c r="K14" s="97"/>
      <c r="L14" s="95"/>
      <c r="M14" s="94"/>
      <c r="N14" s="95"/>
      <c r="O14" s="95"/>
      <c r="P14" s="98"/>
      <c r="Q14" s="98"/>
      <c r="R14" s="95"/>
      <c r="S14" s="99"/>
      <c r="T14" s="106"/>
      <c r="U14" s="107"/>
      <c r="V14" s="94"/>
      <c r="W14" s="102"/>
      <c r="X14" s="95"/>
      <c r="Y14" s="101"/>
      <c r="Z14" s="101"/>
      <c r="AA14" s="95"/>
      <c r="AB14" s="99"/>
      <c r="AC14" s="106"/>
      <c r="AD14" s="107"/>
      <c r="AE14" s="94"/>
      <c r="AF14" s="102"/>
      <c r="AG14" s="102"/>
      <c r="AH14" s="101"/>
      <c r="AI14" s="101"/>
      <c r="AJ14" s="95"/>
      <c r="AK14" s="99"/>
      <c r="AL14" s="106"/>
    </row>
    <row r="15" spans="1:38" ht="15.75" customHeight="1" x14ac:dyDescent="0.25">
      <c r="A15" s="94" t="s">
        <v>39</v>
      </c>
      <c r="B15" s="95" t="s">
        <v>40</v>
      </c>
      <c r="C15" s="96" t="s">
        <v>41</v>
      </c>
      <c r="D15" s="95" t="s">
        <v>42</v>
      </c>
      <c r="E15" s="95" t="s">
        <v>43</v>
      </c>
      <c r="F15" s="95" t="s">
        <v>44</v>
      </c>
      <c r="G15" s="10" t="s">
        <v>45</v>
      </c>
      <c r="H15" s="11">
        <v>43466</v>
      </c>
      <c r="I15" s="11">
        <v>43830</v>
      </c>
      <c r="J15" s="35" t="s">
        <v>21</v>
      </c>
      <c r="K15" s="97" t="s">
        <v>22</v>
      </c>
      <c r="L15" s="95" t="s">
        <v>23</v>
      </c>
      <c r="M15" s="94" t="s">
        <v>46</v>
      </c>
      <c r="N15" s="98" t="s">
        <v>1396</v>
      </c>
      <c r="O15" s="98" t="s">
        <v>1404</v>
      </c>
      <c r="P15" s="98">
        <f>IFERROR((8.03%/20%),"No aplica")</f>
        <v>0.40149999999999997</v>
      </c>
      <c r="Q15" s="98">
        <f>IFERROR((8.03%/80%),"No aplica")</f>
        <v>0.10037499999999999</v>
      </c>
      <c r="R15" s="95" t="s">
        <v>713</v>
      </c>
      <c r="S15" s="99" t="s">
        <v>1403</v>
      </c>
      <c r="T15" s="99" t="s">
        <v>1402</v>
      </c>
      <c r="U15" s="100" t="s">
        <v>1401</v>
      </c>
      <c r="V15" s="94" t="s">
        <v>46</v>
      </c>
      <c r="W15" s="101" t="s">
        <v>1396</v>
      </c>
      <c r="X15" s="98" t="s">
        <v>1400</v>
      </c>
      <c r="Y15" s="108">
        <f>IFERROR((31%/20%),"No aplica")</f>
        <v>1.5499999999999998</v>
      </c>
      <c r="Z15" s="108">
        <f>IFERROR(((8.03%+31%)/80%),"No aplica")</f>
        <v>0.48787499999999995</v>
      </c>
      <c r="AA15" s="95" t="s">
        <v>1220</v>
      </c>
      <c r="AB15" s="99" t="s">
        <v>1399</v>
      </c>
      <c r="AC15" s="99" t="s">
        <v>1398</v>
      </c>
      <c r="AD15" s="100" t="s">
        <v>1397</v>
      </c>
      <c r="AE15" s="94" t="s">
        <v>46</v>
      </c>
      <c r="AF15" s="101" t="s">
        <v>1396</v>
      </c>
      <c r="AG15" s="101" t="s">
        <v>1395</v>
      </c>
      <c r="AH15" s="108">
        <f>IFERROR((34.6%/20%),"No aplica")</f>
        <v>1.73</v>
      </c>
      <c r="AI15" s="108">
        <f>IFERROR(((8.03%+31%+34.6%)/80%),"No aplica")</f>
        <v>0.92037499999999994</v>
      </c>
      <c r="AJ15" s="95" t="s">
        <v>692</v>
      </c>
      <c r="AK15" s="99" t="s">
        <v>1394</v>
      </c>
      <c r="AL15" s="99" t="s">
        <v>1393</v>
      </c>
    </row>
    <row r="16" spans="1:38" ht="16.5" customHeight="1" x14ac:dyDescent="0.25">
      <c r="A16" s="94"/>
      <c r="B16" s="95"/>
      <c r="C16" s="96"/>
      <c r="D16" s="95"/>
      <c r="E16" s="95"/>
      <c r="F16" s="95"/>
      <c r="G16" s="10" t="s">
        <v>47</v>
      </c>
      <c r="H16" s="11">
        <v>43466</v>
      </c>
      <c r="I16" s="11">
        <v>43830</v>
      </c>
      <c r="J16" s="35" t="s">
        <v>21</v>
      </c>
      <c r="K16" s="97"/>
      <c r="L16" s="95"/>
      <c r="M16" s="94"/>
      <c r="N16" s="95"/>
      <c r="O16" s="95"/>
      <c r="P16" s="98"/>
      <c r="Q16" s="98"/>
      <c r="R16" s="95"/>
      <c r="S16" s="99"/>
      <c r="T16" s="99"/>
      <c r="U16" s="100"/>
      <c r="V16" s="94"/>
      <c r="W16" s="102"/>
      <c r="X16" s="95"/>
      <c r="Y16" s="108"/>
      <c r="Z16" s="108"/>
      <c r="AA16" s="95"/>
      <c r="AB16" s="99"/>
      <c r="AC16" s="99"/>
      <c r="AD16" s="100"/>
      <c r="AE16" s="94"/>
      <c r="AF16" s="102"/>
      <c r="AG16" s="95"/>
      <c r="AH16" s="108"/>
      <c r="AI16" s="108"/>
      <c r="AJ16" s="95"/>
      <c r="AK16" s="99"/>
      <c r="AL16" s="99"/>
    </row>
    <row r="17" spans="1:38" ht="15.75" customHeight="1" x14ac:dyDescent="0.25">
      <c r="A17" s="94"/>
      <c r="B17" s="95"/>
      <c r="C17" s="96"/>
      <c r="D17" s="95"/>
      <c r="E17" s="95"/>
      <c r="F17" s="95"/>
      <c r="G17" s="10" t="s">
        <v>48</v>
      </c>
      <c r="H17" s="11">
        <v>43466</v>
      </c>
      <c r="I17" s="11">
        <v>43830</v>
      </c>
      <c r="J17" s="35" t="s">
        <v>21</v>
      </c>
      <c r="K17" s="97"/>
      <c r="L17" s="95"/>
      <c r="M17" s="94"/>
      <c r="N17" s="95"/>
      <c r="O17" s="95"/>
      <c r="P17" s="98"/>
      <c r="Q17" s="98"/>
      <c r="R17" s="95"/>
      <c r="S17" s="99"/>
      <c r="T17" s="99"/>
      <c r="U17" s="100"/>
      <c r="V17" s="94"/>
      <c r="W17" s="102"/>
      <c r="X17" s="95"/>
      <c r="Y17" s="108"/>
      <c r="Z17" s="108"/>
      <c r="AA17" s="95"/>
      <c r="AB17" s="99"/>
      <c r="AC17" s="99"/>
      <c r="AD17" s="100"/>
      <c r="AE17" s="94"/>
      <c r="AF17" s="102"/>
      <c r="AG17" s="95"/>
      <c r="AH17" s="108"/>
      <c r="AI17" s="108"/>
      <c r="AJ17" s="95"/>
      <c r="AK17" s="99"/>
      <c r="AL17" s="99"/>
    </row>
    <row r="18" spans="1:38" ht="31.5" customHeight="1" x14ac:dyDescent="0.25">
      <c r="A18" s="94"/>
      <c r="B18" s="95"/>
      <c r="C18" s="96"/>
      <c r="D18" s="95"/>
      <c r="E18" s="95"/>
      <c r="F18" s="95"/>
      <c r="G18" s="10" t="s">
        <v>49</v>
      </c>
      <c r="H18" s="11">
        <v>43466</v>
      </c>
      <c r="I18" s="11">
        <v>43524</v>
      </c>
      <c r="J18" s="35" t="s">
        <v>21</v>
      </c>
      <c r="K18" s="97"/>
      <c r="L18" s="95"/>
      <c r="M18" s="94"/>
      <c r="N18" s="95"/>
      <c r="O18" s="95"/>
      <c r="P18" s="98"/>
      <c r="Q18" s="98"/>
      <c r="R18" s="95"/>
      <c r="S18" s="99"/>
      <c r="T18" s="99"/>
      <c r="U18" s="100"/>
      <c r="V18" s="94"/>
      <c r="W18" s="102"/>
      <c r="X18" s="95"/>
      <c r="Y18" s="108"/>
      <c r="Z18" s="108"/>
      <c r="AA18" s="95"/>
      <c r="AB18" s="99"/>
      <c r="AC18" s="99"/>
      <c r="AD18" s="100"/>
      <c r="AE18" s="94"/>
      <c r="AF18" s="102"/>
      <c r="AG18" s="95"/>
      <c r="AH18" s="108"/>
      <c r="AI18" s="108"/>
      <c r="AJ18" s="95"/>
      <c r="AK18" s="99"/>
      <c r="AL18" s="99"/>
    </row>
    <row r="19" spans="1:38" ht="15.75" customHeight="1" x14ac:dyDescent="0.25">
      <c r="A19" s="94"/>
      <c r="B19" s="95"/>
      <c r="C19" s="96"/>
      <c r="D19" s="95"/>
      <c r="E19" s="95"/>
      <c r="F19" s="95"/>
      <c r="G19" s="81" t="s">
        <v>50</v>
      </c>
      <c r="H19" s="11">
        <v>43466</v>
      </c>
      <c r="I19" s="11">
        <v>43830</v>
      </c>
      <c r="J19" s="35" t="s">
        <v>21</v>
      </c>
      <c r="K19" s="97"/>
      <c r="L19" s="95"/>
      <c r="M19" s="94"/>
      <c r="N19" s="95"/>
      <c r="O19" s="95"/>
      <c r="P19" s="98"/>
      <c r="Q19" s="98"/>
      <c r="R19" s="95"/>
      <c r="S19" s="99"/>
      <c r="T19" s="99"/>
      <c r="U19" s="100"/>
      <c r="V19" s="94"/>
      <c r="W19" s="102"/>
      <c r="X19" s="95"/>
      <c r="Y19" s="108"/>
      <c r="Z19" s="108"/>
      <c r="AA19" s="95"/>
      <c r="AB19" s="99"/>
      <c r="AC19" s="99"/>
      <c r="AD19" s="100"/>
      <c r="AE19" s="94"/>
      <c r="AF19" s="102"/>
      <c r="AG19" s="95"/>
      <c r="AH19" s="108"/>
      <c r="AI19" s="108"/>
      <c r="AJ19" s="95"/>
      <c r="AK19" s="99"/>
      <c r="AL19" s="99"/>
    </row>
    <row r="20" spans="1:38" ht="15.75" customHeight="1" x14ac:dyDescent="0.25">
      <c r="A20" s="38" t="s">
        <v>51</v>
      </c>
      <c r="B20" s="39" t="s">
        <v>51</v>
      </c>
      <c r="C20" s="54"/>
      <c r="D20" s="39" t="s">
        <v>51</v>
      </c>
      <c r="E20" s="39" t="s">
        <v>51</v>
      </c>
      <c r="F20" s="39" t="s">
        <v>51</v>
      </c>
      <c r="G20" s="44" t="s">
        <v>51</v>
      </c>
      <c r="H20" s="39" t="s">
        <v>51</v>
      </c>
      <c r="I20" s="39" t="s">
        <v>51</v>
      </c>
      <c r="J20" s="55"/>
      <c r="K20" s="42" t="s">
        <v>51</v>
      </c>
      <c r="L20" s="39" t="s">
        <v>51</v>
      </c>
      <c r="M20" s="38" t="s">
        <v>51</v>
      </c>
      <c r="N20" s="39"/>
      <c r="O20" s="39"/>
      <c r="P20" s="41"/>
      <c r="Q20" s="41"/>
      <c r="R20" s="39"/>
      <c r="S20" s="37"/>
      <c r="T20" s="37"/>
      <c r="U20" s="40"/>
      <c r="V20" s="38" t="s">
        <v>51</v>
      </c>
      <c r="W20" s="39"/>
      <c r="X20" s="39"/>
      <c r="Y20" s="39"/>
      <c r="Z20" s="39"/>
      <c r="AA20" s="38" t="s">
        <v>51</v>
      </c>
      <c r="AB20" s="37"/>
      <c r="AC20" s="37"/>
      <c r="AD20" s="40"/>
      <c r="AE20" s="38" t="s">
        <v>51</v>
      </c>
      <c r="AF20" s="39"/>
      <c r="AG20" s="39"/>
      <c r="AH20" s="39"/>
      <c r="AI20" s="48"/>
      <c r="AJ20" s="39" t="s">
        <v>51</v>
      </c>
      <c r="AK20" s="37"/>
      <c r="AL20" s="37"/>
    </row>
    <row r="21" spans="1:38" ht="38.25" customHeight="1" x14ac:dyDescent="0.25">
      <c r="A21" s="117" t="s">
        <v>52</v>
      </c>
      <c r="B21" s="95" t="s">
        <v>53</v>
      </c>
      <c r="C21" s="96" t="s">
        <v>54</v>
      </c>
      <c r="D21" s="95" t="s">
        <v>55</v>
      </c>
      <c r="E21" s="95">
        <v>0</v>
      </c>
      <c r="F21" s="102" t="s">
        <v>56</v>
      </c>
      <c r="G21" s="81" t="s">
        <v>57</v>
      </c>
      <c r="H21" s="11">
        <v>43497</v>
      </c>
      <c r="I21" s="11">
        <v>43496</v>
      </c>
      <c r="J21" s="35" t="s">
        <v>58</v>
      </c>
      <c r="K21" s="97" t="s">
        <v>59</v>
      </c>
      <c r="L21" s="95" t="s">
        <v>60</v>
      </c>
      <c r="M21" s="94" t="s">
        <v>61</v>
      </c>
      <c r="N21" s="95" t="s">
        <v>1392</v>
      </c>
      <c r="O21" s="95" t="s">
        <v>1392</v>
      </c>
      <c r="P21" s="98">
        <f>IFERROR((14%/14%),"No aplica")</f>
        <v>1</v>
      </c>
      <c r="Q21" s="98">
        <f>IFERROR((14%/100%),"No aplica")</f>
        <v>0.14000000000000001</v>
      </c>
      <c r="R21" s="95" t="s">
        <v>692</v>
      </c>
      <c r="S21" s="99" t="s">
        <v>1391</v>
      </c>
      <c r="T21" s="99" t="s">
        <v>1390</v>
      </c>
      <c r="U21" s="100" t="s">
        <v>1227</v>
      </c>
      <c r="V21" s="94" t="s">
        <v>61</v>
      </c>
      <c r="W21" s="102" t="s">
        <v>1389</v>
      </c>
      <c r="X21" s="109" t="s">
        <v>1389</v>
      </c>
      <c r="Y21" s="101">
        <f>IFERROR((14%/14%),"No aplica")</f>
        <v>1</v>
      </c>
      <c r="Z21" s="101">
        <f>IFERROR((14%+7%/100%),"No aplica")</f>
        <v>0.21000000000000002</v>
      </c>
      <c r="AA21" s="95" t="s">
        <v>692</v>
      </c>
      <c r="AB21" s="112" t="s">
        <v>1388</v>
      </c>
      <c r="AC21" s="99" t="s">
        <v>1387</v>
      </c>
      <c r="AD21" s="100" t="s">
        <v>1386</v>
      </c>
      <c r="AE21" s="94" t="s">
        <v>61</v>
      </c>
      <c r="AF21" s="102" t="s">
        <v>1385</v>
      </c>
      <c r="AG21" s="113" t="s">
        <v>1385</v>
      </c>
      <c r="AH21" s="101">
        <f>IFERROR((24%/24%),"No aplica")</f>
        <v>1</v>
      </c>
      <c r="AI21" s="114">
        <f>IFERROR(((14%+7%+24%)/100%),"No aplica")</f>
        <v>0.45</v>
      </c>
      <c r="AJ21" s="95" t="s">
        <v>692</v>
      </c>
      <c r="AK21" s="112" t="s">
        <v>1384</v>
      </c>
      <c r="AL21" s="99" t="s">
        <v>1383</v>
      </c>
    </row>
    <row r="22" spans="1:38" ht="38.25" customHeight="1" x14ac:dyDescent="0.25">
      <c r="A22" s="117"/>
      <c r="B22" s="95"/>
      <c r="C22" s="96"/>
      <c r="D22" s="95"/>
      <c r="E22" s="95"/>
      <c r="F22" s="102"/>
      <c r="G22" s="81" t="s">
        <v>62</v>
      </c>
      <c r="H22" s="11">
        <v>43497</v>
      </c>
      <c r="I22" s="11">
        <v>43496</v>
      </c>
      <c r="J22" s="35" t="s">
        <v>58</v>
      </c>
      <c r="K22" s="97"/>
      <c r="L22" s="95"/>
      <c r="M22" s="94"/>
      <c r="N22" s="95"/>
      <c r="O22" s="95"/>
      <c r="P22" s="98"/>
      <c r="Q22" s="98"/>
      <c r="R22" s="95"/>
      <c r="S22" s="99"/>
      <c r="T22" s="99"/>
      <c r="U22" s="100"/>
      <c r="V22" s="94"/>
      <c r="W22" s="102"/>
      <c r="X22" s="110"/>
      <c r="Y22" s="101"/>
      <c r="Z22" s="101"/>
      <c r="AA22" s="95"/>
      <c r="AB22" s="112"/>
      <c r="AC22" s="99"/>
      <c r="AD22" s="100"/>
      <c r="AE22" s="94"/>
      <c r="AF22" s="102"/>
      <c r="AG22" s="110"/>
      <c r="AH22" s="101"/>
      <c r="AI22" s="115"/>
      <c r="AJ22" s="95"/>
      <c r="AK22" s="112"/>
      <c r="AL22" s="99"/>
    </row>
    <row r="23" spans="1:38" ht="38.25" customHeight="1" x14ac:dyDescent="0.25">
      <c r="A23" s="117"/>
      <c r="B23" s="95"/>
      <c r="C23" s="96"/>
      <c r="D23" s="95"/>
      <c r="E23" s="95"/>
      <c r="F23" s="102"/>
      <c r="G23" s="10" t="s">
        <v>63</v>
      </c>
      <c r="H23" s="11">
        <v>43481</v>
      </c>
      <c r="I23" s="11">
        <v>43677</v>
      </c>
      <c r="J23" s="35" t="s">
        <v>58</v>
      </c>
      <c r="K23" s="97"/>
      <c r="L23" s="95"/>
      <c r="M23" s="94"/>
      <c r="N23" s="95"/>
      <c r="O23" s="95"/>
      <c r="P23" s="98"/>
      <c r="Q23" s="98"/>
      <c r="R23" s="95"/>
      <c r="S23" s="99"/>
      <c r="T23" s="99"/>
      <c r="U23" s="100"/>
      <c r="V23" s="94"/>
      <c r="W23" s="102"/>
      <c r="X23" s="110"/>
      <c r="Y23" s="101"/>
      <c r="Z23" s="101"/>
      <c r="AA23" s="95"/>
      <c r="AB23" s="112"/>
      <c r="AC23" s="99"/>
      <c r="AD23" s="100"/>
      <c r="AE23" s="94"/>
      <c r="AF23" s="102"/>
      <c r="AG23" s="110"/>
      <c r="AH23" s="101"/>
      <c r="AI23" s="115"/>
      <c r="AJ23" s="95"/>
      <c r="AK23" s="112"/>
      <c r="AL23" s="99"/>
    </row>
    <row r="24" spans="1:38" ht="38.25" customHeight="1" x14ac:dyDescent="0.25">
      <c r="A24" s="117"/>
      <c r="B24" s="95"/>
      <c r="C24" s="96"/>
      <c r="D24" s="95"/>
      <c r="E24" s="95"/>
      <c r="F24" s="95" t="s">
        <v>64</v>
      </c>
      <c r="G24" s="10" t="s">
        <v>65</v>
      </c>
      <c r="H24" s="11">
        <v>43497</v>
      </c>
      <c r="I24" s="12">
        <v>43555</v>
      </c>
      <c r="J24" s="35" t="s">
        <v>58</v>
      </c>
      <c r="K24" s="97"/>
      <c r="L24" s="95"/>
      <c r="M24" s="94"/>
      <c r="N24" s="95"/>
      <c r="O24" s="95"/>
      <c r="P24" s="98"/>
      <c r="Q24" s="98"/>
      <c r="R24" s="95"/>
      <c r="S24" s="99"/>
      <c r="T24" s="99"/>
      <c r="U24" s="100"/>
      <c r="V24" s="94"/>
      <c r="W24" s="102"/>
      <c r="X24" s="110"/>
      <c r="Y24" s="101"/>
      <c r="Z24" s="101"/>
      <c r="AA24" s="95"/>
      <c r="AB24" s="112"/>
      <c r="AC24" s="99"/>
      <c r="AD24" s="100"/>
      <c r="AE24" s="94"/>
      <c r="AF24" s="102"/>
      <c r="AG24" s="110"/>
      <c r="AH24" s="101"/>
      <c r="AI24" s="115"/>
      <c r="AJ24" s="95"/>
      <c r="AK24" s="112"/>
      <c r="AL24" s="99"/>
    </row>
    <row r="25" spans="1:38" ht="38.25" customHeight="1" x14ac:dyDescent="0.25">
      <c r="A25" s="117"/>
      <c r="B25" s="95"/>
      <c r="C25" s="96"/>
      <c r="D25" s="95"/>
      <c r="E25" s="95"/>
      <c r="F25" s="95"/>
      <c r="G25" s="10" t="s">
        <v>66</v>
      </c>
      <c r="H25" s="12">
        <v>43497</v>
      </c>
      <c r="I25" s="12">
        <v>43830</v>
      </c>
      <c r="J25" s="35" t="s">
        <v>58</v>
      </c>
      <c r="K25" s="97"/>
      <c r="L25" s="95"/>
      <c r="M25" s="94"/>
      <c r="N25" s="95"/>
      <c r="O25" s="95"/>
      <c r="P25" s="98"/>
      <c r="Q25" s="98"/>
      <c r="R25" s="95"/>
      <c r="S25" s="99"/>
      <c r="T25" s="99"/>
      <c r="U25" s="100"/>
      <c r="V25" s="94"/>
      <c r="W25" s="102"/>
      <c r="X25" s="110"/>
      <c r="Y25" s="101"/>
      <c r="Z25" s="101"/>
      <c r="AA25" s="95"/>
      <c r="AB25" s="112"/>
      <c r="AC25" s="99"/>
      <c r="AD25" s="100"/>
      <c r="AE25" s="94"/>
      <c r="AF25" s="102"/>
      <c r="AG25" s="110"/>
      <c r="AH25" s="101"/>
      <c r="AI25" s="115"/>
      <c r="AJ25" s="95"/>
      <c r="AK25" s="112"/>
      <c r="AL25" s="99"/>
    </row>
    <row r="26" spans="1:38" ht="38.25" customHeight="1" x14ac:dyDescent="0.25">
      <c r="A26" s="117"/>
      <c r="B26" s="95"/>
      <c r="C26" s="96"/>
      <c r="D26" s="95"/>
      <c r="E26" s="95"/>
      <c r="F26" s="95"/>
      <c r="G26" s="10" t="s">
        <v>67</v>
      </c>
      <c r="H26" s="11">
        <v>43556</v>
      </c>
      <c r="I26" s="11">
        <v>43830</v>
      </c>
      <c r="J26" s="35" t="s">
        <v>58</v>
      </c>
      <c r="K26" s="97"/>
      <c r="L26" s="95"/>
      <c r="M26" s="94"/>
      <c r="N26" s="95"/>
      <c r="O26" s="95"/>
      <c r="P26" s="98"/>
      <c r="Q26" s="98"/>
      <c r="R26" s="95"/>
      <c r="S26" s="99"/>
      <c r="T26" s="99"/>
      <c r="U26" s="100"/>
      <c r="V26" s="94"/>
      <c r="W26" s="102"/>
      <c r="X26" s="110"/>
      <c r="Y26" s="101"/>
      <c r="Z26" s="101"/>
      <c r="AA26" s="95"/>
      <c r="AB26" s="112"/>
      <c r="AC26" s="99"/>
      <c r="AD26" s="100"/>
      <c r="AE26" s="94"/>
      <c r="AF26" s="102"/>
      <c r="AG26" s="110"/>
      <c r="AH26" s="101"/>
      <c r="AI26" s="115"/>
      <c r="AJ26" s="95"/>
      <c r="AK26" s="112"/>
      <c r="AL26" s="99"/>
    </row>
    <row r="27" spans="1:38" ht="38.25" customHeight="1" x14ac:dyDescent="0.25">
      <c r="A27" s="117"/>
      <c r="B27" s="95"/>
      <c r="C27" s="96"/>
      <c r="D27" s="95"/>
      <c r="E27" s="95"/>
      <c r="F27" s="95"/>
      <c r="G27" s="10" t="s">
        <v>68</v>
      </c>
      <c r="H27" s="12">
        <v>43555</v>
      </c>
      <c r="I27" s="12">
        <v>43830</v>
      </c>
      <c r="J27" s="35" t="s">
        <v>58</v>
      </c>
      <c r="K27" s="97"/>
      <c r="L27" s="95"/>
      <c r="M27" s="94"/>
      <c r="N27" s="95"/>
      <c r="O27" s="95"/>
      <c r="P27" s="98"/>
      <c r="Q27" s="98"/>
      <c r="R27" s="95"/>
      <c r="S27" s="99"/>
      <c r="T27" s="99"/>
      <c r="U27" s="100"/>
      <c r="V27" s="94"/>
      <c r="W27" s="102"/>
      <c r="X27" s="111"/>
      <c r="Y27" s="101"/>
      <c r="Z27" s="101"/>
      <c r="AA27" s="95"/>
      <c r="AB27" s="112"/>
      <c r="AC27" s="99"/>
      <c r="AD27" s="100"/>
      <c r="AE27" s="94"/>
      <c r="AF27" s="102"/>
      <c r="AG27" s="111"/>
      <c r="AH27" s="101"/>
      <c r="AI27" s="116"/>
      <c r="AJ27" s="95"/>
      <c r="AK27" s="112"/>
      <c r="AL27" s="99"/>
    </row>
    <row r="28" spans="1:38" ht="30" customHeight="1" x14ac:dyDescent="0.25">
      <c r="A28" s="117" t="s">
        <v>39</v>
      </c>
      <c r="B28" s="95" t="s">
        <v>69</v>
      </c>
      <c r="C28" s="118" t="s">
        <v>70</v>
      </c>
      <c r="D28" s="102" t="s">
        <v>71</v>
      </c>
      <c r="E28" s="95">
        <v>0</v>
      </c>
      <c r="F28" s="102" t="s">
        <v>72</v>
      </c>
      <c r="G28" s="81" t="s">
        <v>73</v>
      </c>
      <c r="H28" s="12">
        <v>43497</v>
      </c>
      <c r="I28" s="12">
        <v>43585</v>
      </c>
      <c r="J28" s="35" t="s">
        <v>58</v>
      </c>
      <c r="K28" s="119" t="s">
        <v>59</v>
      </c>
      <c r="L28" s="102" t="s">
        <v>60</v>
      </c>
      <c r="M28" s="94" t="s">
        <v>74</v>
      </c>
      <c r="N28" s="95" t="s">
        <v>1381</v>
      </c>
      <c r="O28" s="95" t="s">
        <v>1381</v>
      </c>
      <c r="P28" s="98" t="str">
        <f>IFERROR((0/0),"No aplica")</f>
        <v>No aplica</v>
      </c>
      <c r="Q28" s="98">
        <f>IFERROR((0/2),"No aplica")</f>
        <v>0</v>
      </c>
      <c r="R28" s="95" t="s">
        <v>697</v>
      </c>
      <c r="S28" s="99" t="s">
        <v>700</v>
      </c>
      <c r="T28" s="99" t="s">
        <v>75</v>
      </c>
      <c r="U28" s="100" t="s">
        <v>1382</v>
      </c>
      <c r="V28" s="94" t="s">
        <v>74</v>
      </c>
      <c r="W28" s="102" t="s">
        <v>1381</v>
      </c>
      <c r="X28" s="95" t="s">
        <v>1381</v>
      </c>
      <c r="Y28" s="101" t="str">
        <f>IFERROR((0/0),"No aplica")</f>
        <v>No aplica</v>
      </c>
      <c r="Z28" s="101">
        <f>IFERROR((0/2),"No aplica")</f>
        <v>0</v>
      </c>
      <c r="AA28" s="95" t="s">
        <v>697</v>
      </c>
      <c r="AB28" s="99" t="s">
        <v>1380</v>
      </c>
      <c r="AC28" s="99" t="s">
        <v>1379</v>
      </c>
      <c r="AD28" s="100" t="s">
        <v>1378</v>
      </c>
      <c r="AE28" s="94" t="s">
        <v>74</v>
      </c>
      <c r="AF28" s="102" t="s">
        <v>1377</v>
      </c>
      <c r="AG28" s="102" t="s">
        <v>1377</v>
      </c>
      <c r="AH28" s="101">
        <f>IFERROR((1/1),"No aplica")</f>
        <v>1</v>
      </c>
      <c r="AI28" s="101">
        <f>IFERROR((1/2),"No aplica")</f>
        <v>0.5</v>
      </c>
      <c r="AJ28" s="95" t="s">
        <v>692</v>
      </c>
      <c r="AK28" s="99" t="s">
        <v>1376</v>
      </c>
      <c r="AL28" s="99" t="s">
        <v>1375</v>
      </c>
    </row>
    <row r="29" spans="1:38" ht="30" customHeight="1" x14ac:dyDescent="0.25">
      <c r="A29" s="117"/>
      <c r="B29" s="95"/>
      <c r="C29" s="118"/>
      <c r="D29" s="102"/>
      <c r="E29" s="95"/>
      <c r="F29" s="102"/>
      <c r="G29" s="10" t="s">
        <v>76</v>
      </c>
      <c r="H29" s="12">
        <v>43497</v>
      </c>
      <c r="I29" s="12">
        <v>43677</v>
      </c>
      <c r="J29" s="82" t="s">
        <v>58</v>
      </c>
      <c r="K29" s="119"/>
      <c r="L29" s="102"/>
      <c r="M29" s="94"/>
      <c r="N29" s="95"/>
      <c r="O29" s="95"/>
      <c r="P29" s="98"/>
      <c r="Q29" s="98"/>
      <c r="R29" s="95"/>
      <c r="S29" s="99"/>
      <c r="T29" s="99"/>
      <c r="U29" s="100"/>
      <c r="V29" s="94"/>
      <c r="W29" s="102"/>
      <c r="X29" s="95"/>
      <c r="Y29" s="101"/>
      <c r="Z29" s="101"/>
      <c r="AA29" s="95"/>
      <c r="AB29" s="99"/>
      <c r="AC29" s="99"/>
      <c r="AD29" s="100"/>
      <c r="AE29" s="94"/>
      <c r="AF29" s="102"/>
      <c r="AG29" s="95"/>
      <c r="AH29" s="101"/>
      <c r="AI29" s="101"/>
      <c r="AJ29" s="95"/>
      <c r="AK29" s="99"/>
      <c r="AL29" s="99"/>
    </row>
    <row r="30" spans="1:38" ht="30" customHeight="1" x14ac:dyDescent="0.25">
      <c r="A30" s="117"/>
      <c r="B30" s="95"/>
      <c r="C30" s="118"/>
      <c r="D30" s="102"/>
      <c r="E30" s="95"/>
      <c r="F30" s="102"/>
      <c r="G30" s="10" t="s">
        <v>77</v>
      </c>
      <c r="H30" s="12">
        <v>43678</v>
      </c>
      <c r="I30" s="12">
        <v>43830</v>
      </c>
      <c r="J30" s="35" t="s">
        <v>58</v>
      </c>
      <c r="K30" s="119"/>
      <c r="L30" s="102"/>
      <c r="M30" s="94"/>
      <c r="N30" s="95"/>
      <c r="O30" s="95"/>
      <c r="P30" s="98"/>
      <c r="Q30" s="98"/>
      <c r="R30" s="95"/>
      <c r="S30" s="99"/>
      <c r="T30" s="99"/>
      <c r="U30" s="100"/>
      <c r="V30" s="94"/>
      <c r="W30" s="102"/>
      <c r="X30" s="95"/>
      <c r="Y30" s="101"/>
      <c r="Z30" s="101"/>
      <c r="AA30" s="95"/>
      <c r="AB30" s="99"/>
      <c r="AC30" s="99"/>
      <c r="AD30" s="100"/>
      <c r="AE30" s="94"/>
      <c r="AF30" s="102"/>
      <c r="AG30" s="95"/>
      <c r="AH30" s="101"/>
      <c r="AI30" s="101"/>
      <c r="AJ30" s="95"/>
      <c r="AK30" s="99"/>
      <c r="AL30" s="99"/>
    </row>
    <row r="31" spans="1:38" ht="30" customHeight="1" x14ac:dyDescent="0.25">
      <c r="A31" s="117"/>
      <c r="B31" s="95"/>
      <c r="C31" s="118"/>
      <c r="D31" s="102"/>
      <c r="E31" s="95"/>
      <c r="F31" s="102"/>
      <c r="G31" s="10" t="s">
        <v>78</v>
      </c>
      <c r="H31" s="12">
        <v>43678</v>
      </c>
      <c r="I31" s="12">
        <v>43830</v>
      </c>
      <c r="J31" s="35" t="s">
        <v>58</v>
      </c>
      <c r="K31" s="119"/>
      <c r="L31" s="102"/>
      <c r="M31" s="94"/>
      <c r="N31" s="95"/>
      <c r="O31" s="95"/>
      <c r="P31" s="98"/>
      <c r="Q31" s="98"/>
      <c r="R31" s="95"/>
      <c r="S31" s="99"/>
      <c r="T31" s="99"/>
      <c r="U31" s="100"/>
      <c r="V31" s="94"/>
      <c r="W31" s="102"/>
      <c r="X31" s="95"/>
      <c r="Y31" s="101"/>
      <c r="Z31" s="101"/>
      <c r="AA31" s="95"/>
      <c r="AB31" s="99"/>
      <c r="AC31" s="99"/>
      <c r="AD31" s="100"/>
      <c r="AE31" s="94"/>
      <c r="AF31" s="102"/>
      <c r="AG31" s="95"/>
      <c r="AH31" s="101"/>
      <c r="AI31" s="101"/>
      <c r="AJ31" s="95"/>
      <c r="AK31" s="99"/>
      <c r="AL31" s="99"/>
    </row>
    <row r="32" spans="1:38" ht="30" customHeight="1" x14ac:dyDescent="0.25">
      <c r="A32" s="117"/>
      <c r="B32" s="95"/>
      <c r="C32" s="118"/>
      <c r="D32" s="102"/>
      <c r="E32" s="95"/>
      <c r="F32" s="102"/>
      <c r="G32" s="10" t="s">
        <v>79</v>
      </c>
      <c r="H32" s="12">
        <v>43678</v>
      </c>
      <c r="I32" s="12">
        <v>43830</v>
      </c>
      <c r="J32" s="35" t="s">
        <v>58</v>
      </c>
      <c r="K32" s="119"/>
      <c r="L32" s="102"/>
      <c r="M32" s="94"/>
      <c r="N32" s="95"/>
      <c r="O32" s="95"/>
      <c r="P32" s="98"/>
      <c r="Q32" s="98"/>
      <c r="R32" s="95"/>
      <c r="S32" s="99"/>
      <c r="T32" s="99"/>
      <c r="U32" s="100"/>
      <c r="V32" s="94"/>
      <c r="W32" s="102"/>
      <c r="X32" s="95"/>
      <c r="Y32" s="101"/>
      <c r="Z32" s="101"/>
      <c r="AA32" s="95"/>
      <c r="AB32" s="99"/>
      <c r="AC32" s="99"/>
      <c r="AD32" s="100"/>
      <c r="AE32" s="94"/>
      <c r="AF32" s="102"/>
      <c r="AG32" s="95"/>
      <c r="AH32" s="101"/>
      <c r="AI32" s="101"/>
      <c r="AJ32" s="95"/>
      <c r="AK32" s="99"/>
      <c r="AL32" s="99"/>
    </row>
    <row r="33" spans="1:38" ht="65.25" customHeight="1" x14ac:dyDescent="0.25">
      <c r="A33" s="117" t="s">
        <v>39</v>
      </c>
      <c r="B33" s="95" t="s">
        <v>69</v>
      </c>
      <c r="C33" s="96" t="s">
        <v>80</v>
      </c>
      <c r="D33" s="95" t="s">
        <v>81</v>
      </c>
      <c r="E33" s="102">
        <v>0</v>
      </c>
      <c r="F33" s="95" t="s">
        <v>82</v>
      </c>
      <c r="G33" s="81" t="s">
        <v>83</v>
      </c>
      <c r="H33" s="11">
        <v>43480</v>
      </c>
      <c r="I33" s="11">
        <v>43708</v>
      </c>
      <c r="J33" s="35" t="s">
        <v>58</v>
      </c>
      <c r="K33" s="97" t="s">
        <v>59</v>
      </c>
      <c r="L33" s="95" t="s">
        <v>60</v>
      </c>
      <c r="M33" s="94" t="s">
        <v>84</v>
      </c>
      <c r="N33" s="95" t="s">
        <v>1374</v>
      </c>
      <c r="O33" s="95" t="s">
        <v>1374</v>
      </c>
      <c r="P33" s="125">
        <f>IFERROR((12.5%/12.5%),"No aplica")</f>
        <v>1</v>
      </c>
      <c r="Q33" s="125">
        <f>IFERROR((12.5%/100%),"No aplica")</f>
        <v>0.125</v>
      </c>
      <c r="R33" s="95" t="s">
        <v>692</v>
      </c>
      <c r="S33" s="99" t="s">
        <v>1373</v>
      </c>
      <c r="T33" s="99" t="s">
        <v>1372</v>
      </c>
      <c r="U33" s="100" t="s">
        <v>1371</v>
      </c>
      <c r="V33" s="120" t="s">
        <v>84</v>
      </c>
      <c r="W33" s="113" t="s">
        <v>1370</v>
      </c>
      <c r="X33" s="95" t="s">
        <v>1370</v>
      </c>
      <c r="Y33" s="101">
        <f>IFERROR((27.5%/27.5%),"No aplica")</f>
        <v>1</v>
      </c>
      <c r="Z33" s="101">
        <f>IFERROR((12%+27.5%/100%),"No aplica")</f>
        <v>0.39500000000000002</v>
      </c>
      <c r="AA33" s="95" t="s">
        <v>692</v>
      </c>
      <c r="AB33" s="99" t="s">
        <v>1369</v>
      </c>
      <c r="AC33" s="99" t="s">
        <v>1368</v>
      </c>
      <c r="AD33" s="100" t="s">
        <v>1367</v>
      </c>
      <c r="AE33" s="120" t="s">
        <v>84</v>
      </c>
      <c r="AF33" s="113" t="s">
        <v>1366</v>
      </c>
      <c r="AG33" s="113" t="s">
        <v>1366</v>
      </c>
      <c r="AH33" s="101">
        <f>IFERROR((23.5%/23.5%),"No aplica")</f>
        <v>1</v>
      </c>
      <c r="AI33" s="101">
        <f>IFERROR(((12.5%+27.5%+23.5%)/100%),"No aplica")</f>
        <v>0.63500000000000001</v>
      </c>
      <c r="AJ33" s="95" t="s">
        <v>692</v>
      </c>
      <c r="AK33" s="99" t="s">
        <v>1365</v>
      </c>
      <c r="AL33" s="99" t="s">
        <v>1364</v>
      </c>
    </row>
    <row r="34" spans="1:38" ht="65.25" customHeight="1" x14ac:dyDescent="0.25">
      <c r="A34" s="117"/>
      <c r="B34" s="95"/>
      <c r="C34" s="96"/>
      <c r="D34" s="95"/>
      <c r="E34" s="102"/>
      <c r="F34" s="95"/>
      <c r="G34" s="10" t="s">
        <v>85</v>
      </c>
      <c r="H34" s="11">
        <v>43497</v>
      </c>
      <c r="I34" s="11">
        <v>43830</v>
      </c>
      <c r="J34" s="35" t="s">
        <v>58</v>
      </c>
      <c r="K34" s="97"/>
      <c r="L34" s="95"/>
      <c r="M34" s="94"/>
      <c r="N34" s="95"/>
      <c r="O34" s="95"/>
      <c r="P34" s="125"/>
      <c r="Q34" s="125"/>
      <c r="R34" s="95"/>
      <c r="S34" s="99"/>
      <c r="T34" s="99"/>
      <c r="U34" s="100"/>
      <c r="V34" s="121"/>
      <c r="W34" s="123"/>
      <c r="X34" s="95"/>
      <c r="Y34" s="101"/>
      <c r="Z34" s="101"/>
      <c r="AA34" s="95"/>
      <c r="AB34" s="99"/>
      <c r="AC34" s="99"/>
      <c r="AD34" s="100"/>
      <c r="AE34" s="121"/>
      <c r="AF34" s="123"/>
      <c r="AG34" s="123"/>
      <c r="AH34" s="101"/>
      <c r="AI34" s="101"/>
      <c r="AJ34" s="95"/>
      <c r="AK34" s="99"/>
      <c r="AL34" s="99"/>
    </row>
    <row r="35" spans="1:38" ht="59.25" customHeight="1" x14ac:dyDescent="0.25">
      <c r="A35" s="117"/>
      <c r="B35" s="95"/>
      <c r="C35" s="96"/>
      <c r="D35" s="95"/>
      <c r="E35" s="102"/>
      <c r="F35" s="95"/>
      <c r="G35" s="10" t="s">
        <v>86</v>
      </c>
      <c r="H35" s="11">
        <v>43739</v>
      </c>
      <c r="I35" s="11">
        <v>43830</v>
      </c>
      <c r="J35" s="35" t="s">
        <v>58</v>
      </c>
      <c r="K35" s="97"/>
      <c r="L35" s="95"/>
      <c r="M35" s="94"/>
      <c r="N35" s="95"/>
      <c r="O35" s="95"/>
      <c r="P35" s="125"/>
      <c r="Q35" s="125"/>
      <c r="R35" s="95"/>
      <c r="S35" s="99"/>
      <c r="T35" s="99"/>
      <c r="U35" s="100"/>
      <c r="V35" s="122"/>
      <c r="W35" s="124"/>
      <c r="X35" s="95"/>
      <c r="Y35" s="101"/>
      <c r="Z35" s="101"/>
      <c r="AA35" s="95"/>
      <c r="AB35" s="99"/>
      <c r="AC35" s="99"/>
      <c r="AD35" s="100"/>
      <c r="AE35" s="122"/>
      <c r="AF35" s="124"/>
      <c r="AG35" s="124"/>
      <c r="AH35" s="101"/>
      <c r="AI35" s="101"/>
      <c r="AJ35" s="95"/>
      <c r="AK35" s="99"/>
      <c r="AL35" s="99"/>
    </row>
    <row r="36" spans="1:38" x14ac:dyDescent="0.25">
      <c r="A36" s="38" t="s">
        <v>51</v>
      </c>
      <c r="B36" s="39" t="s">
        <v>51</v>
      </c>
      <c r="C36" s="54"/>
      <c r="D36" s="39" t="s">
        <v>51</v>
      </c>
      <c r="E36" s="39" t="s">
        <v>51</v>
      </c>
      <c r="F36" s="39" t="s">
        <v>51</v>
      </c>
      <c r="G36" s="44" t="s">
        <v>51</v>
      </c>
      <c r="H36" s="39" t="s">
        <v>51</v>
      </c>
      <c r="I36" s="39" t="s">
        <v>51</v>
      </c>
      <c r="J36" s="43" t="s">
        <v>51</v>
      </c>
      <c r="K36" s="42" t="s">
        <v>51</v>
      </c>
      <c r="L36" s="39" t="s">
        <v>51</v>
      </c>
      <c r="M36" s="38" t="s">
        <v>51</v>
      </c>
      <c r="N36" s="39"/>
      <c r="O36" s="39"/>
      <c r="P36" s="41"/>
      <c r="Q36" s="41"/>
      <c r="R36" s="39"/>
      <c r="S36" s="37"/>
      <c r="T36" s="37"/>
      <c r="U36" s="40"/>
      <c r="V36" s="38" t="s">
        <v>51</v>
      </c>
      <c r="W36" s="39"/>
      <c r="X36" s="39"/>
      <c r="Y36" s="39"/>
      <c r="Z36" s="39"/>
      <c r="AA36" s="38" t="s">
        <v>51</v>
      </c>
      <c r="AB36" s="37"/>
      <c r="AC36" s="37"/>
      <c r="AD36" s="40"/>
      <c r="AE36" s="38" t="s">
        <v>51</v>
      </c>
      <c r="AF36" s="39"/>
      <c r="AG36" s="39"/>
      <c r="AH36" s="39"/>
      <c r="AI36" s="39"/>
      <c r="AJ36" s="38" t="s">
        <v>51</v>
      </c>
      <c r="AK36" s="37"/>
      <c r="AL36" s="37"/>
    </row>
    <row r="37" spans="1:38" ht="31.5" customHeight="1" x14ac:dyDescent="0.25">
      <c r="A37" s="94" t="s">
        <v>39</v>
      </c>
      <c r="B37" s="95" t="s">
        <v>87</v>
      </c>
      <c r="C37" s="96" t="s">
        <v>88</v>
      </c>
      <c r="D37" s="95" t="s">
        <v>89</v>
      </c>
      <c r="E37" s="95" t="s">
        <v>90</v>
      </c>
      <c r="F37" s="95" t="s">
        <v>91</v>
      </c>
      <c r="G37" s="10" t="s">
        <v>92</v>
      </c>
      <c r="H37" s="13">
        <v>43528</v>
      </c>
      <c r="I37" s="13">
        <v>43735</v>
      </c>
      <c r="J37" s="35" t="s">
        <v>93</v>
      </c>
      <c r="K37" s="97" t="s">
        <v>94</v>
      </c>
      <c r="L37" s="95" t="s">
        <v>95</v>
      </c>
      <c r="M37" s="94" t="s">
        <v>96</v>
      </c>
      <c r="N37" s="95" t="s">
        <v>96</v>
      </c>
      <c r="O37" s="126" t="s">
        <v>1363</v>
      </c>
      <c r="P37" s="98">
        <f>IFERROR((78.57%/70%),"No aplica")</f>
        <v>1.1224285714285713</v>
      </c>
      <c r="Q37" s="127" t="s">
        <v>750</v>
      </c>
      <c r="R37" s="95" t="s">
        <v>803</v>
      </c>
      <c r="S37" s="99" t="s">
        <v>1362</v>
      </c>
      <c r="T37" s="99" t="s">
        <v>1361</v>
      </c>
      <c r="U37" s="100" t="s">
        <v>1360</v>
      </c>
      <c r="V37" s="94" t="s">
        <v>96</v>
      </c>
      <c r="W37" s="102" t="s">
        <v>96</v>
      </c>
      <c r="X37" s="126" t="s">
        <v>1359</v>
      </c>
      <c r="Y37" s="101">
        <f>IFERROR((81.97%/70%),"No aplica")</f>
        <v>1.171</v>
      </c>
      <c r="Z37" s="127" t="s">
        <v>750</v>
      </c>
      <c r="AA37" s="95" t="s">
        <v>803</v>
      </c>
      <c r="AB37" s="99" t="s">
        <v>1358</v>
      </c>
      <c r="AC37" s="99" t="s">
        <v>1357</v>
      </c>
      <c r="AD37" s="100" t="s">
        <v>1356</v>
      </c>
      <c r="AE37" s="94" t="s">
        <v>96</v>
      </c>
      <c r="AF37" s="102" t="s">
        <v>96</v>
      </c>
      <c r="AG37" s="128" t="s">
        <v>1355</v>
      </c>
      <c r="AH37" s="101">
        <f>IFERROR((81.49%/70%),"No aplica")</f>
        <v>1.1641428571428571</v>
      </c>
      <c r="AI37" s="127" t="s">
        <v>750</v>
      </c>
      <c r="AJ37" s="95" t="s">
        <v>803</v>
      </c>
      <c r="AK37" s="99" t="s">
        <v>1354</v>
      </c>
      <c r="AL37" s="99" t="s">
        <v>1353</v>
      </c>
    </row>
    <row r="38" spans="1:38" ht="31.5" x14ac:dyDescent="0.25">
      <c r="A38" s="94"/>
      <c r="B38" s="95"/>
      <c r="C38" s="96"/>
      <c r="D38" s="95"/>
      <c r="E38" s="95"/>
      <c r="F38" s="95"/>
      <c r="G38" s="10" t="s">
        <v>97</v>
      </c>
      <c r="H38" s="13">
        <v>43528</v>
      </c>
      <c r="I38" s="13">
        <v>43735</v>
      </c>
      <c r="J38" s="35" t="s">
        <v>93</v>
      </c>
      <c r="K38" s="97"/>
      <c r="L38" s="95"/>
      <c r="M38" s="94"/>
      <c r="N38" s="95"/>
      <c r="O38" s="95"/>
      <c r="P38" s="98"/>
      <c r="Q38" s="127"/>
      <c r="R38" s="95"/>
      <c r="S38" s="99"/>
      <c r="T38" s="99"/>
      <c r="U38" s="100"/>
      <c r="V38" s="94"/>
      <c r="W38" s="102"/>
      <c r="X38" s="95"/>
      <c r="Y38" s="101"/>
      <c r="Z38" s="127"/>
      <c r="AA38" s="95"/>
      <c r="AB38" s="99"/>
      <c r="AC38" s="99"/>
      <c r="AD38" s="100"/>
      <c r="AE38" s="94"/>
      <c r="AF38" s="102"/>
      <c r="AG38" s="95"/>
      <c r="AH38" s="101"/>
      <c r="AI38" s="127"/>
      <c r="AJ38" s="95"/>
      <c r="AK38" s="99"/>
      <c r="AL38" s="99"/>
    </row>
    <row r="39" spans="1:38" ht="31.5" x14ac:dyDescent="0.25">
      <c r="A39" s="94"/>
      <c r="B39" s="95"/>
      <c r="C39" s="96"/>
      <c r="D39" s="95"/>
      <c r="E39" s="95"/>
      <c r="F39" s="95"/>
      <c r="G39" s="10" t="s">
        <v>98</v>
      </c>
      <c r="H39" s="13">
        <v>43556</v>
      </c>
      <c r="I39" s="13">
        <v>43798</v>
      </c>
      <c r="J39" s="35" t="s">
        <v>93</v>
      </c>
      <c r="K39" s="97"/>
      <c r="L39" s="95"/>
      <c r="M39" s="94"/>
      <c r="N39" s="95"/>
      <c r="O39" s="95"/>
      <c r="P39" s="98"/>
      <c r="Q39" s="127"/>
      <c r="R39" s="95"/>
      <c r="S39" s="99"/>
      <c r="T39" s="99"/>
      <c r="U39" s="100"/>
      <c r="V39" s="94"/>
      <c r="W39" s="102"/>
      <c r="X39" s="95"/>
      <c r="Y39" s="101"/>
      <c r="Z39" s="127"/>
      <c r="AA39" s="95"/>
      <c r="AB39" s="99"/>
      <c r="AC39" s="99"/>
      <c r="AD39" s="100"/>
      <c r="AE39" s="94"/>
      <c r="AF39" s="102"/>
      <c r="AG39" s="95"/>
      <c r="AH39" s="101"/>
      <c r="AI39" s="127"/>
      <c r="AJ39" s="95"/>
      <c r="AK39" s="99"/>
      <c r="AL39" s="99"/>
    </row>
    <row r="40" spans="1:38" ht="31.5" x14ac:dyDescent="0.25">
      <c r="A40" s="94"/>
      <c r="B40" s="95"/>
      <c r="C40" s="96"/>
      <c r="D40" s="95"/>
      <c r="E40" s="95"/>
      <c r="F40" s="95"/>
      <c r="G40" s="10" t="s">
        <v>99</v>
      </c>
      <c r="H40" s="13">
        <v>43500</v>
      </c>
      <c r="I40" s="13">
        <v>43826</v>
      </c>
      <c r="J40" s="35" t="s">
        <v>93</v>
      </c>
      <c r="K40" s="97"/>
      <c r="L40" s="95"/>
      <c r="M40" s="94"/>
      <c r="N40" s="95"/>
      <c r="O40" s="95"/>
      <c r="P40" s="98"/>
      <c r="Q40" s="127"/>
      <c r="R40" s="95"/>
      <c r="S40" s="99"/>
      <c r="T40" s="99"/>
      <c r="U40" s="100"/>
      <c r="V40" s="94"/>
      <c r="W40" s="102"/>
      <c r="X40" s="95"/>
      <c r="Y40" s="101"/>
      <c r="Z40" s="127"/>
      <c r="AA40" s="95"/>
      <c r="AB40" s="99"/>
      <c r="AC40" s="99"/>
      <c r="AD40" s="100"/>
      <c r="AE40" s="94"/>
      <c r="AF40" s="102"/>
      <c r="AG40" s="95"/>
      <c r="AH40" s="101"/>
      <c r="AI40" s="127"/>
      <c r="AJ40" s="95"/>
      <c r="AK40" s="99"/>
      <c r="AL40" s="99"/>
    </row>
    <row r="41" spans="1:38" ht="31.5" x14ac:dyDescent="0.25">
      <c r="A41" s="94"/>
      <c r="B41" s="95"/>
      <c r="C41" s="96"/>
      <c r="D41" s="95"/>
      <c r="E41" s="95"/>
      <c r="F41" s="95"/>
      <c r="G41" s="81" t="s">
        <v>100</v>
      </c>
      <c r="H41" s="13">
        <v>43500</v>
      </c>
      <c r="I41" s="13">
        <v>43826</v>
      </c>
      <c r="J41" s="35" t="s">
        <v>93</v>
      </c>
      <c r="K41" s="97"/>
      <c r="L41" s="95"/>
      <c r="M41" s="94"/>
      <c r="N41" s="95"/>
      <c r="O41" s="95"/>
      <c r="P41" s="98"/>
      <c r="Q41" s="127"/>
      <c r="R41" s="95"/>
      <c r="S41" s="99"/>
      <c r="T41" s="99"/>
      <c r="U41" s="100"/>
      <c r="V41" s="94"/>
      <c r="W41" s="102"/>
      <c r="X41" s="95"/>
      <c r="Y41" s="101"/>
      <c r="Z41" s="127"/>
      <c r="AA41" s="95"/>
      <c r="AB41" s="99"/>
      <c r="AC41" s="99"/>
      <c r="AD41" s="100"/>
      <c r="AE41" s="94"/>
      <c r="AF41" s="102"/>
      <c r="AG41" s="95"/>
      <c r="AH41" s="101"/>
      <c r="AI41" s="127"/>
      <c r="AJ41" s="95"/>
      <c r="AK41" s="99"/>
      <c r="AL41" s="99"/>
    </row>
    <row r="42" spans="1:38" ht="31.5" customHeight="1" x14ac:dyDescent="0.25">
      <c r="A42" s="94"/>
      <c r="B42" s="95"/>
      <c r="C42" s="96"/>
      <c r="D42" s="95"/>
      <c r="E42" s="95"/>
      <c r="F42" s="95" t="s">
        <v>101</v>
      </c>
      <c r="G42" s="10" t="s">
        <v>102</v>
      </c>
      <c r="H42" s="13">
        <v>43479</v>
      </c>
      <c r="I42" s="13">
        <v>43812</v>
      </c>
      <c r="J42" s="35" t="s">
        <v>93</v>
      </c>
      <c r="K42" s="97"/>
      <c r="L42" s="95"/>
      <c r="M42" s="94"/>
      <c r="N42" s="95"/>
      <c r="O42" s="95"/>
      <c r="P42" s="98"/>
      <c r="Q42" s="127"/>
      <c r="R42" s="95"/>
      <c r="S42" s="99"/>
      <c r="T42" s="99"/>
      <c r="U42" s="100"/>
      <c r="V42" s="94"/>
      <c r="W42" s="102"/>
      <c r="X42" s="95"/>
      <c r="Y42" s="101"/>
      <c r="Z42" s="127"/>
      <c r="AA42" s="95"/>
      <c r="AB42" s="99"/>
      <c r="AC42" s="99"/>
      <c r="AD42" s="100"/>
      <c r="AE42" s="94"/>
      <c r="AF42" s="102"/>
      <c r="AG42" s="95"/>
      <c r="AH42" s="101"/>
      <c r="AI42" s="127"/>
      <c r="AJ42" s="95"/>
      <c r="AK42" s="99"/>
      <c r="AL42" s="99"/>
    </row>
    <row r="43" spans="1:38" ht="31.5" x14ac:dyDescent="0.25">
      <c r="A43" s="94"/>
      <c r="B43" s="95"/>
      <c r="C43" s="96"/>
      <c r="D43" s="95"/>
      <c r="E43" s="95"/>
      <c r="F43" s="95"/>
      <c r="G43" s="10" t="s">
        <v>103</v>
      </c>
      <c r="H43" s="13">
        <v>43479</v>
      </c>
      <c r="I43" s="13">
        <v>43812</v>
      </c>
      <c r="J43" s="35" t="s">
        <v>93</v>
      </c>
      <c r="K43" s="97"/>
      <c r="L43" s="95"/>
      <c r="M43" s="94"/>
      <c r="N43" s="95"/>
      <c r="O43" s="95"/>
      <c r="P43" s="98"/>
      <c r="Q43" s="127"/>
      <c r="R43" s="95"/>
      <c r="S43" s="99"/>
      <c r="T43" s="99"/>
      <c r="U43" s="100"/>
      <c r="V43" s="94"/>
      <c r="W43" s="102"/>
      <c r="X43" s="95"/>
      <c r="Y43" s="101"/>
      <c r="Z43" s="127"/>
      <c r="AA43" s="95"/>
      <c r="AB43" s="99"/>
      <c r="AC43" s="99"/>
      <c r="AD43" s="100"/>
      <c r="AE43" s="94"/>
      <c r="AF43" s="102"/>
      <c r="AG43" s="95"/>
      <c r="AH43" s="101"/>
      <c r="AI43" s="127"/>
      <c r="AJ43" s="95"/>
      <c r="AK43" s="99"/>
      <c r="AL43" s="99"/>
    </row>
    <row r="44" spans="1:38" ht="31.5" x14ac:dyDescent="0.25">
      <c r="A44" s="94"/>
      <c r="B44" s="95"/>
      <c r="C44" s="96"/>
      <c r="D44" s="95"/>
      <c r="E44" s="95"/>
      <c r="F44" s="95"/>
      <c r="G44" s="10" t="s">
        <v>104</v>
      </c>
      <c r="H44" s="13">
        <v>43479</v>
      </c>
      <c r="I44" s="13">
        <v>43812</v>
      </c>
      <c r="J44" s="35" t="s">
        <v>93</v>
      </c>
      <c r="K44" s="97"/>
      <c r="L44" s="95"/>
      <c r="M44" s="94"/>
      <c r="N44" s="95"/>
      <c r="O44" s="95"/>
      <c r="P44" s="98"/>
      <c r="Q44" s="127"/>
      <c r="R44" s="95"/>
      <c r="S44" s="99"/>
      <c r="T44" s="99"/>
      <c r="U44" s="100"/>
      <c r="V44" s="94"/>
      <c r="W44" s="102"/>
      <c r="X44" s="95"/>
      <c r="Y44" s="101"/>
      <c r="Z44" s="127"/>
      <c r="AA44" s="95"/>
      <c r="AB44" s="99"/>
      <c r="AC44" s="99"/>
      <c r="AD44" s="100"/>
      <c r="AE44" s="94"/>
      <c r="AF44" s="102"/>
      <c r="AG44" s="95"/>
      <c r="AH44" s="101"/>
      <c r="AI44" s="127"/>
      <c r="AJ44" s="95"/>
      <c r="AK44" s="99"/>
      <c r="AL44" s="99"/>
    </row>
    <row r="45" spans="1:38" ht="41.25" customHeight="1" x14ac:dyDescent="0.25">
      <c r="A45" s="94" t="s">
        <v>39</v>
      </c>
      <c r="B45" s="95" t="s">
        <v>105</v>
      </c>
      <c r="C45" s="96" t="s">
        <v>106</v>
      </c>
      <c r="D45" s="95" t="s">
        <v>107</v>
      </c>
      <c r="E45" s="95">
        <v>0</v>
      </c>
      <c r="F45" s="95" t="s">
        <v>108</v>
      </c>
      <c r="G45" s="10" t="s">
        <v>109</v>
      </c>
      <c r="H45" s="13">
        <v>43479</v>
      </c>
      <c r="I45" s="13">
        <v>43524</v>
      </c>
      <c r="J45" s="35" t="s">
        <v>93</v>
      </c>
      <c r="K45" s="97" t="s">
        <v>94</v>
      </c>
      <c r="L45" s="95" t="s">
        <v>110</v>
      </c>
      <c r="M45" s="94" t="s">
        <v>111</v>
      </c>
      <c r="N45" s="95" t="s">
        <v>1352</v>
      </c>
      <c r="O45" s="95" t="s">
        <v>1352</v>
      </c>
      <c r="P45" s="98">
        <f>IFERROR((2/2),"No aplica")</f>
        <v>1</v>
      </c>
      <c r="Q45" s="98">
        <f>IFERROR((2/11),"No aplica")</f>
        <v>0.18181818181818182</v>
      </c>
      <c r="R45" s="95" t="s">
        <v>692</v>
      </c>
      <c r="S45" s="99" t="s">
        <v>1351</v>
      </c>
      <c r="T45" s="99" t="s">
        <v>1350</v>
      </c>
      <c r="U45" s="100" t="s">
        <v>1349</v>
      </c>
      <c r="V45" s="94" t="s">
        <v>111</v>
      </c>
      <c r="W45" s="102" t="s">
        <v>1345</v>
      </c>
      <c r="X45" s="95" t="s">
        <v>1345</v>
      </c>
      <c r="Y45" s="101">
        <f>IFERROR((3/3),"No aplica")</f>
        <v>1</v>
      </c>
      <c r="Z45" s="101">
        <f>IFERROR((5/11),"No aplica")</f>
        <v>0.45454545454545453</v>
      </c>
      <c r="AA45" s="95" t="s">
        <v>692</v>
      </c>
      <c r="AB45" s="99" t="s">
        <v>1348</v>
      </c>
      <c r="AC45" s="99" t="s">
        <v>1347</v>
      </c>
      <c r="AD45" s="100" t="s">
        <v>1346</v>
      </c>
      <c r="AE45" s="94" t="s">
        <v>111</v>
      </c>
      <c r="AF45" s="102" t="s">
        <v>1345</v>
      </c>
      <c r="AG45" s="102" t="s">
        <v>1345</v>
      </c>
      <c r="AH45" s="101">
        <f>IFERROR((3/3),"No aplica")</f>
        <v>1</v>
      </c>
      <c r="AI45" s="101">
        <f>IFERROR(((2+3+3)/11),"No aplica")</f>
        <v>0.72727272727272729</v>
      </c>
      <c r="AJ45" s="95" t="s">
        <v>692</v>
      </c>
      <c r="AK45" s="99" t="s">
        <v>1344</v>
      </c>
      <c r="AL45" s="99" t="s">
        <v>1343</v>
      </c>
    </row>
    <row r="46" spans="1:38" ht="41.25" customHeight="1" x14ac:dyDescent="0.25">
      <c r="A46" s="94"/>
      <c r="B46" s="95"/>
      <c r="C46" s="96"/>
      <c r="D46" s="95"/>
      <c r="E46" s="95"/>
      <c r="F46" s="95"/>
      <c r="G46" s="81" t="s">
        <v>112</v>
      </c>
      <c r="H46" s="13">
        <v>43467</v>
      </c>
      <c r="I46" s="13">
        <v>43585</v>
      </c>
      <c r="J46" s="35" t="s">
        <v>93</v>
      </c>
      <c r="K46" s="97"/>
      <c r="L46" s="95"/>
      <c r="M46" s="94"/>
      <c r="N46" s="95"/>
      <c r="O46" s="95"/>
      <c r="P46" s="98"/>
      <c r="Q46" s="98"/>
      <c r="R46" s="95"/>
      <c r="S46" s="99"/>
      <c r="T46" s="99"/>
      <c r="U46" s="100"/>
      <c r="V46" s="94"/>
      <c r="W46" s="102"/>
      <c r="X46" s="95"/>
      <c r="Y46" s="101"/>
      <c r="Z46" s="101"/>
      <c r="AA46" s="95"/>
      <c r="AB46" s="99"/>
      <c r="AC46" s="99"/>
      <c r="AD46" s="100"/>
      <c r="AE46" s="94"/>
      <c r="AF46" s="102"/>
      <c r="AG46" s="95"/>
      <c r="AH46" s="101"/>
      <c r="AI46" s="101"/>
      <c r="AJ46" s="95"/>
      <c r="AK46" s="99"/>
      <c r="AL46" s="99"/>
    </row>
    <row r="47" spans="1:38" ht="41.25" customHeight="1" x14ac:dyDescent="0.25">
      <c r="A47" s="94"/>
      <c r="B47" s="95"/>
      <c r="C47" s="96"/>
      <c r="D47" s="95"/>
      <c r="E47" s="95"/>
      <c r="F47" s="95"/>
      <c r="G47" s="81" t="s">
        <v>113</v>
      </c>
      <c r="H47" s="13">
        <v>43587</v>
      </c>
      <c r="I47" s="13">
        <v>43830</v>
      </c>
      <c r="J47" s="35" t="s">
        <v>93</v>
      </c>
      <c r="K47" s="97"/>
      <c r="L47" s="95"/>
      <c r="M47" s="94"/>
      <c r="N47" s="95"/>
      <c r="O47" s="95"/>
      <c r="P47" s="98"/>
      <c r="Q47" s="98"/>
      <c r="R47" s="95"/>
      <c r="S47" s="99"/>
      <c r="T47" s="99"/>
      <c r="U47" s="100"/>
      <c r="V47" s="94"/>
      <c r="W47" s="102"/>
      <c r="X47" s="95"/>
      <c r="Y47" s="101"/>
      <c r="Z47" s="101"/>
      <c r="AA47" s="95"/>
      <c r="AB47" s="99"/>
      <c r="AC47" s="99"/>
      <c r="AD47" s="100"/>
      <c r="AE47" s="94"/>
      <c r="AF47" s="102"/>
      <c r="AG47" s="95"/>
      <c r="AH47" s="101"/>
      <c r="AI47" s="101"/>
      <c r="AJ47" s="95"/>
      <c r="AK47" s="99"/>
      <c r="AL47" s="99"/>
    </row>
    <row r="48" spans="1:38" ht="31.5" customHeight="1" x14ac:dyDescent="0.25">
      <c r="A48" s="129" t="s">
        <v>39</v>
      </c>
      <c r="B48" s="130" t="s">
        <v>114</v>
      </c>
      <c r="C48" s="131" t="s">
        <v>115</v>
      </c>
      <c r="D48" s="130" t="s">
        <v>116</v>
      </c>
      <c r="E48" s="130">
        <v>0</v>
      </c>
      <c r="F48" s="130" t="s">
        <v>117</v>
      </c>
      <c r="G48" s="14" t="s">
        <v>118</v>
      </c>
      <c r="H48" s="15">
        <v>43467</v>
      </c>
      <c r="I48" s="15">
        <v>43645</v>
      </c>
      <c r="J48" s="36" t="s">
        <v>93</v>
      </c>
      <c r="K48" s="97" t="s">
        <v>94</v>
      </c>
      <c r="L48" s="95" t="s">
        <v>119</v>
      </c>
      <c r="M48" s="94" t="s">
        <v>120</v>
      </c>
      <c r="N48" s="95" t="s">
        <v>1334</v>
      </c>
      <c r="O48" s="126" t="s">
        <v>1342</v>
      </c>
      <c r="P48" s="98">
        <f>IFERROR((99.78%/97%),"No aplica")</f>
        <v>1.0286597938144331</v>
      </c>
      <c r="Q48" s="127" t="s">
        <v>750</v>
      </c>
      <c r="R48" s="95" t="s">
        <v>692</v>
      </c>
      <c r="S48" s="99" t="s">
        <v>1341</v>
      </c>
      <c r="T48" s="99" t="s">
        <v>1340</v>
      </c>
      <c r="U48" s="100" t="s">
        <v>1339</v>
      </c>
      <c r="V48" s="94" t="s">
        <v>1334</v>
      </c>
      <c r="W48" s="102" t="s">
        <v>1334</v>
      </c>
      <c r="X48" s="126" t="s">
        <v>1338</v>
      </c>
      <c r="Y48" s="101">
        <f>IFERROR((98.85%/97%),"No aplica")</f>
        <v>1.0190721649484535</v>
      </c>
      <c r="Z48" s="127" t="s">
        <v>750</v>
      </c>
      <c r="AA48" s="95" t="s">
        <v>692</v>
      </c>
      <c r="AB48" s="99" t="s">
        <v>1337</v>
      </c>
      <c r="AC48" s="99" t="s">
        <v>1336</v>
      </c>
      <c r="AD48" s="100" t="s">
        <v>1335</v>
      </c>
      <c r="AE48" s="94" t="s">
        <v>1334</v>
      </c>
      <c r="AF48" s="102" t="s">
        <v>1334</v>
      </c>
      <c r="AG48" s="128" t="s">
        <v>1333</v>
      </c>
      <c r="AH48" s="101">
        <f>IFERROR((99.89%/97%),"No aplica")</f>
        <v>1.0297938144329897</v>
      </c>
      <c r="AI48" s="127" t="s">
        <v>750</v>
      </c>
      <c r="AJ48" s="95" t="s">
        <v>692</v>
      </c>
      <c r="AK48" s="99" t="s">
        <v>1332</v>
      </c>
      <c r="AL48" s="99" t="s">
        <v>1331</v>
      </c>
    </row>
    <row r="49" spans="1:38" ht="31.5" x14ac:dyDescent="0.25">
      <c r="A49" s="129"/>
      <c r="B49" s="130"/>
      <c r="C49" s="131"/>
      <c r="D49" s="130"/>
      <c r="E49" s="130"/>
      <c r="F49" s="130"/>
      <c r="G49" s="14" t="s">
        <v>121</v>
      </c>
      <c r="H49" s="15">
        <v>43479</v>
      </c>
      <c r="I49" s="15">
        <v>43769</v>
      </c>
      <c r="J49" s="36" t="s">
        <v>93</v>
      </c>
      <c r="K49" s="97"/>
      <c r="L49" s="95"/>
      <c r="M49" s="94"/>
      <c r="N49" s="95"/>
      <c r="O49" s="95"/>
      <c r="P49" s="98"/>
      <c r="Q49" s="127"/>
      <c r="R49" s="95"/>
      <c r="S49" s="99"/>
      <c r="T49" s="99"/>
      <c r="U49" s="100"/>
      <c r="V49" s="94"/>
      <c r="W49" s="102"/>
      <c r="X49" s="95"/>
      <c r="Y49" s="101"/>
      <c r="Z49" s="127"/>
      <c r="AA49" s="95"/>
      <c r="AB49" s="99"/>
      <c r="AC49" s="99"/>
      <c r="AD49" s="100"/>
      <c r="AE49" s="94"/>
      <c r="AF49" s="102"/>
      <c r="AG49" s="95"/>
      <c r="AH49" s="101"/>
      <c r="AI49" s="127"/>
      <c r="AJ49" s="95"/>
      <c r="AK49" s="99"/>
      <c r="AL49" s="99"/>
    </row>
    <row r="50" spans="1:38" ht="31.5" x14ac:dyDescent="0.25">
      <c r="A50" s="129"/>
      <c r="B50" s="130"/>
      <c r="C50" s="131"/>
      <c r="D50" s="130"/>
      <c r="E50" s="130"/>
      <c r="F50" s="130"/>
      <c r="G50" s="14" t="s">
        <v>122</v>
      </c>
      <c r="H50" s="15">
        <v>43479</v>
      </c>
      <c r="I50" s="15">
        <v>43645</v>
      </c>
      <c r="J50" s="36" t="s">
        <v>93</v>
      </c>
      <c r="K50" s="97"/>
      <c r="L50" s="95"/>
      <c r="M50" s="94"/>
      <c r="N50" s="95"/>
      <c r="O50" s="95"/>
      <c r="P50" s="98"/>
      <c r="Q50" s="127"/>
      <c r="R50" s="95"/>
      <c r="S50" s="99"/>
      <c r="T50" s="99"/>
      <c r="U50" s="100"/>
      <c r="V50" s="94"/>
      <c r="W50" s="102"/>
      <c r="X50" s="95"/>
      <c r="Y50" s="101"/>
      <c r="Z50" s="127"/>
      <c r="AA50" s="95"/>
      <c r="AB50" s="99"/>
      <c r="AC50" s="99"/>
      <c r="AD50" s="100"/>
      <c r="AE50" s="94"/>
      <c r="AF50" s="102"/>
      <c r="AG50" s="95"/>
      <c r="AH50" s="101"/>
      <c r="AI50" s="127"/>
      <c r="AJ50" s="95"/>
      <c r="AK50" s="99"/>
      <c r="AL50" s="99"/>
    </row>
    <row r="51" spans="1:38" ht="31.5" x14ac:dyDescent="0.25">
      <c r="A51" s="129"/>
      <c r="B51" s="130"/>
      <c r="C51" s="131"/>
      <c r="D51" s="130"/>
      <c r="E51" s="130"/>
      <c r="F51" s="130"/>
      <c r="G51" s="14" t="s">
        <v>123</v>
      </c>
      <c r="H51" s="15">
        <v>43479</v>
      </c>
      <c r="I51" s="15">
        <v>43645</v>
      </c>
      <c r="J51" s="36" t="s">
        <v>93</v>
      </c>
      <c r="K51" s="97"/>
      <c r="L51" s="95"/>
      <c r="M51" s="94"/>
      <c r="N51" s="95"/>
      <c r="O51" s="95"/>
      <c r="P51" s="98"/>
      <c r="Q51" s="127"/>
      <c r="R51" s="95"/>
      <c r="S51" s="99"/>
      <c r="T51" s="99"/>
      <c r="U51" s="100"/>
      <c r="V51" s="94"/>
      <c r="W51" s="102"/>
      <c r="X51" s="95"/>
      <c r="Y51" s="101"/>
      <c r="Z51" s="127"/>
      <c r="AA51" s="95"/>
      <c r="AB51" s="99"/>
      <c r="AC51" s="99"/>
      <c r="AD51" s="100"/>
      <c r="AE51" s="94"/>
      <c r="AF51" s="102"/>
      <c r="AG51" s="95"/>
      <c r="AH51" s="101"/>
      <c r="AI51" s="127"/>
      <c r="AJ51" s="95"/>
      <c r="AK51" s="99"/>
      <c r="AL51" s="99"/>
    </row>
    <row r="52" spans="1:38" ht="31.5" x14ac:dyDescent="0.25">
      <c r="A52" s="129"/>
      <c r="B52" s="130"/>
      <c r="C52" s="131"/>
      <c r="D52" s="130"/>
      <c r="E52" s="130"/>
      <c r="F52" s="130"/>
      <c r="G52" s="14" t="s">
        <v>124</v>
      </c>
      <c r="H52" s="15">
        <v>43479</v>
      </c>
      <c r="I52" s="15">
        <v>43645</v>
      </c>
      <c r="J52" s="36" t="s">
        <v>93</v>
      </c>
      <c r="K52" s="97"/>
      <c r="L52" s="95"/>
      <c r="M52" s="94"/>
      <c r="N52" s="95"/>
      <c r="O52" s="95"/>
      <c r="P52" s="98"/>
      <c r="Q52" s="127"/>
      <c r="R52" s="95"/>
      <c r="S52" s="99"/>
      <c r="T52" s="99"/>
      <c r="U52" s="100"/>
      <c r="V52" s="94"/>
      <c r="W52" s="102"/>
      <c r="X52" s="95"/>
      <c r="Y52" s="101"/>
      <c r="Z52" s="127"/>
      <c r="AA52" s="95"/>
      <c r="AB52" s="99"/>
      <c r="AC52" s="99"/>
      <c r="AD52" s="100"/>
      <c r="AE52" s="94"/>
      <c r="AF52" s="102"/>
      <c r="AG52" s="95"/>
      <c r="AH52" s="101"/>
      <c r="AI52" s="127"/>
      <c r="AJ52" s="95"/>
      <c r="AK52" s="99"/>
      <c r="AL52" s="99"/>
    </row>
    <row r="53" spans="1:38" ht="31.5" x14ac:dyDescent="0.25">
      <c r="A53" s="129"/>
      <c r="B53" s="130"/>
      <c r="C53" s="131"/>
      <c r="D53" s="130"/>
      <c r="E53" s="130"/>
      <c r="F53" s="130"/>
      <c r="G53" s="14" t="s">
        <v>125</v>
      </c>
      <c r="H53" s="15">
        <v>43467</v>
      </c>
      <c r="I53" s="15">
        <v>43830</v>
      </c>
      <c r="J53" s="36" t="s">
        <v>93</v>
      </c>
      <c r="K53" s="97"/>
      <c r="L53" s="95"/>
      <c r="M53" s="94"/>
      <c r="N53" s="95"/>
      <c r="O53" s="95"/>
      <c r="P53" s="98"/>
      <c r="Q53" s="127"/>
      <c r="R53" s="95"/>
      <c r="S53" s="99"/>
      <c r="T53" s="99"/>
      <c r="U53" s="100"/>
      <c r="V53" s="94"/>
      <c r="W53" s="102"/>
      <c r="X53" s="95"/>
      <c r="Y53" s="101"/>
      <c r="Z53" s="127"/>
      <c r="AA53" s="95"/>
      <c r="AB53" s="99"/>
      <c r="AC53" s="99"/>
      <c r="AD53" s="100"/>
      <c r="AE53" s="94"/>
      <c r="AF53" s="102"/>
      <c r="AG53" s="95"/>
      <c r="AH53" s="101"/>
      <c r="AI53" s="127"/>
      <c r="AJ53" s="95"/>
      <c r="AK53" s="99"/>
      <c r="AL53" s="99"/>
    </row>
    <row r="54" spans="1:38" ht="69" customHeight="1" x14ac:dyDescent="0.25">
      <c r="A54" s="94" t="s">
        <v>39</v>
      </c>
      <c r="B54" s="95" t="s">
        <v>126</v>
      </c>
      <c r="C54" s="95">
        <v>10</v>
      </c>
      <c r="D54" s="95" t="s">
        <v>127</v>
      </c>
      <c r="E54" s="95">
        <v>0</v>
      </c>
      <c r="F54" s="95" t="s">
        <v>108</v>
      </c>
      <c r="G54" s="10" t="s">
        <v>128</v>
      </c>
      <c r="H54" s="11">
        <v>43473</v>
      </c>
      <c r="I54" s="11">
        <v>43554</v>
      </c>
      <c r="J54" s="35" t="s">
        <v>93</v>
      </c>
      <c r="K54" s="97" t="s">
        <v>94</v>
      </c>
      <c r="L54" s="95" t="s">
        <v>129</v>
      </c>
      <c r="M54" s="94" t="s">
        <v>130</v>
      </c>
      <c r="N54" s="95" t="s">
        <v>1330</v>
      </c>
      <c r="O54" s="95" t="s">
        <v>1330</v>
      </c>
      <c r="P54" s="98" t="str">
        <f>IFERROR((0/0),"No aplica")</f>
        <v>No aplica</v>
      </c>
      <c r="Q54" s="98">
        <f>IFERROR((0/7),"No aplica")</f>
        <v>0</v>
      </c>
      <c r="R54" s="95" t="s">
        <v>697</v>
      </c>
      <c r="S54" s="99" t="s">
        <v>1329</v>
      </c>
      <c r="T54" s="99" t="s">
        <v>1328</v>
      </c>
      <c r="U54" s="100" t="s">
        <v>1327</v>
      </c>
      <c r="V54" s="94" t="s">
        <v>1323</v>
      </c>
      <c r="W54" s="102" t="s">
        <v>1322</v>
      </c>
      <c r="X54" s="95" t="s">
        <v>1322</v>
      </c>
      <c r="Y54" s="108">
        <f>IFERROR((2/2),"No aplica")</f>
        <v>1</v>
      </c>
      <c r="Z54" s="108">
        <f>IFERROR((2/7),"No aplica")</f>
        <v>0.2857142857142857</v>
      </c>
      <c r="AA54" s="95" t="s">
        <v>692</v>
      </c>
      <c r="AB54" s="99" t="s">
        <v>1326</v>
      </c>
      <c r="AC54" s="99" t="s">
        <v>1325</v>
      </c>
      <c r="AD54" s="100" t="s">
        <v>1324</v>
      </c>
      <c r="AE54" s="94" t="s">
        <v>1323</v>
      </c>
      <c r="AF54" s="102" t="s">
        <v>1322</v>
      </c>
      <c r="AG54" s="102" t="s">
        <v>1321</v>
      </c>
      <c r="AH54" s="108">
        <f>IFERROR((4/2),"No aplica")</f>
        <v>2</v>
      </c>
      <c r="AI54" s="108">
        <f>IFERROR(((2+4)/7),"No aplica")</f>
        <v>0.8571428571428571</v>
      </c>
      <c r="AJ54" s="95" t="s">
        <v>692</v>
      </c>
      <c r="AK54" s="99" t="s">
        <v>1320</v>
      </c>
      <c r="AL54" s="99" t="s">
        <v>1319</v>
      </c>
    </row>
    <row r="55" spans="1:38" ht="69" customHeight="1" x14ac:dyDescent="0.25">
      <c r="A55" s="94"/>
      <c r="B55" s="95"/>
      <c r="C55" s="95"/>
      <c r="D55" s="95"/>
      <c r="E55" s="95"/>
      <c r="F55" s="95"/>
      <c r="G55" s="10" t="s">
        <v>131</v>
      </c>
      <c r="H55" s="11">
        <v>43473</v>
      </c>
      <c r="I55" s="11">
        <v>43769</v>
      </c>
      <c r="J55" s="35" t="s">
        <v>93</v>
      </c>
      <c r="K55" s="97"/>
      <c r="L55" s="95"/>
      <c r="M55" s="94"/>
      <c r="N55" s="95"/>
      <c r="O55" s="95"/>
      <c r="P55" s="98"/>
      <c r="Q55" s="98"/>
      <c r="R55" s="95"/>
      <c r="S55" s="99"/>
      <c r="T55" s="99"/>
      <c r="U55" s="100"/>
      <c r="V55" s="94"/>
      <c r="W55" s="102"/>
      <c r="X55" s="95"/>
      <c r="Y55" s="108"/>
      <c r="Z55" s="108"/>
      <c r="AA55" s="95"/>
      <c r="AB55" s="99"/>
      <c r="AC55" s="99"/>
      <c r="AD55" s="100"/>
      <c r="AE55" s="94"/>
      <c r="AF55" s="102"/>
      <c r="AG55" s="95"/>
      <c r="AH55" s="108"/>
      <c r="AI55" s="108"/>
      <c r="AJ55" s="95"/>
      <c r="AK55" s="99"/>
      <c r="AL55" s="99"/>
    </row>
    <row r="56" spans="1:38" ht="69" customHeight="1" x14ac:dyDescent="0.25">
      <c r="A56" s="94"/>
      <c r="B56" s="95"/>
      <c r="C56" s="95"/>
      <c r="D56" s="95"/>
      <c r="E56" s="95"/>
      <c r="F56" s="95"/>
      <c r="G56" s="10" t="s">
        <v>132</v>
      </c>
      <c r="H56" s="11">
        <v>43473</v>
      </c>
      <c r="I56" s="11">
        <v>43769</v>
      </c>
      <c r="J56" s="35" t="s">
        <v>93</v>
      </c>
      <c r="K56" s="97"/>
      <c r="L56" s="95"/>
      <c r="M56" s="94"/>
      <c r="N56" s="95"/>
      <c r="O56" s="95"/>
      <c r="P56" s="98"/>
      <c r="Q56" s="98"/>
      <c r="R56" s="95"/>
      <c r="S56" s="99"/>
      <c r="T56" s="99"/>
      <c r="U56" s="100"/>
      <c r="V56" s="94"/>
      <c r="W56" s="102"/>
      <c r="X56" s="95"/>
      <c r="Y56" s="108"/>
      <c r="Z56" s="108"/>
      <c r="AA56" s="95"/>
      <c r="AB56" s="99"/>
      <c r="AC56" s="99"/>
      <c r="AD56" s="100"/>
      <c r="AE56" s="94"/>
      <c r="AF56" s="102"/>
      <c r="AG56" s="95"/>
      <c r="AH56" s="108"/>
      <c r="AI56" s="108"/>
      <c r="AJ56" s="95"/>
      <c r="AK56" s="99"/>
      <c r="AL56" s="99"/>
    </row>
    <row r="57" spans="1:38" ht="51" customHeight="1" x14ac:dyDescent="0.25">
      <c r="A57" s="132" t="s">
        <v>39</v>
      </c>
      <c r="B57" s="133" t="s">
        <v>126</v>
      </c>
      <c r="C57" s="133">
        <v>11</v>
      </c>
      <c r="D57" s="133" t="s">
        <v>133</v>
      </c>
      <c r="E57" s="133">
        <v>0</v>
      </c>
      <c r="F57" s="133" t="s">
        <v>134</v>
      </c>
      <c r="G57" s="16" t="s">
        <v>135</v>
      </c>
      <c r="H57" s="17">
        <v>43473</v>
      </c>
      <c r="I57" s="17">
        <v>43554</v>
      </c>
      <c r="J57" s="53" t="s">
        <v>93</v>
      </c>
      <c r="K57" s="97" t="s">
        <v>94</v>
      </c>
      <c r="L57" s="95" t="s">
        <v>110</v>
      </c>
      <c r="M57" s="94" t="s">
        <v>136</v>
      </c>
      <c r="N57" s="95" t="s">
        <v>1312</v>
      </c>
      <c r="O57" s="95" t="s">
        <v>1311</v>
      </c>
      <c r="P57" s="98" t="str">
        <f>IFERROR((0/0),"No aplica")</f>
        <v>No aplica</v>
      </c>
      <c r="Q57" s="98">
        <f>IFERROR((0/1),"No aplica")</f>
        <v>0</v>
      </c>
      <c r="R57" s="95" t="s">
        <v>697</v>
      </c>
      <c r="S57" s="99" t="s">
        <v>1318</v>
      </c>
      <c r="T57" s="99" t="s">
        <v>1317</v>
      </c>
      <c r="U57" s="100" t="s">
        <v>1316</v>
      </c>
      <c r="V57" s="94" t="s">
        <v>136</v>
      </c>
      <c r="W57" s="95" t="s">
        <v>1312</v>
      </c>
      <c r="X57" s="95" t="s">
        <v>1311</v>
      </c>
      <c r="Y57" s="101" t="str">
        <f>IFERROR((0/0),"No aplica")</f>
        <v>No aplica</v>
      </c>
      <c r="Z57" s="101">
        <f>IFERROR((0/1),"No aplica")</f>
        <v>0</v>
      </c>
      <c r="AA57" s="95" t="s">
        <v>697</v>
      </c>
      <c r="AB57" s="99" t="s">
        <v>1315</v>
      </c>
      <c r="AC57" s="99" t="s">
        <v>1314</v>
      </c>
      <c r="AD57" s="100" t="s">
        <v>1313</v>
      </c>
      <c r="AE57" s="94" t="s">
        <v>136</v>
      </c>
      <c r="AF57" s="95" t="s">
        <v>1312</v>
      </c>
      <c r="AG57" s="95" t="s">
        <v>1311</v>
      </c>
      <c r="AH57" s="101" t="str">
        <f>IFERROR((0/0),"No aplica")</f>
        <v>No aplica</v>
      </c>
      <c r="AI57" s="101">
        <f>IFERROR((0/1),"No aplica")</f>
        <v>0</v>
      </c>
      <c r="AJ57" s="95" t="s">
        <v>697</v>
      </c>
      <c r="AK57" s="99" t="s">
        <v>1310</v>
      </c>
      <c r="AL57" s="99" t="s">
        <v>1309</v>
      </c>
    </row>
    <row r="58" spans="1:38" ht="51" customHeight="1" x14ac:dyDescent="0.25">
      <c r="A58" s="132"/>
      <c r="B58" s="133"/>
      <c r="C58" s="133"/>
      <c r="D58" s="133"/>
      <c r="E58" s="133"/>
      <c r="F58" s="133"/>
      <c r="G58" s="16" t="s">
        <v>137</v>
      </c>
      <c r="H58" s="17">
        <v>43577</v>
      </c>
      <c r="I58" s="17">
        <v>43830</v>
      </c>
      <c r="J58" s="53" t="s">
        <v>93</v>
      </c>
      <c r="K58" s="97"/>
      <c r="L58" s="95"/>
      <c r="M58" s="94"/>
      <c r="N58" s="95"/>
      <c r="O58" s="95"/>
      <c r="P58" s="98"/>
      <c r="Q58" s="98"/>
      <c r="R58" s="95"/>
      <c r="S58" s="99"/>
      <c r="T58" s="99"/>
      <c r="U58" s="100"/>
      <c r="V58" s="94"/>
      <c r="W58" s="95"/>
      <c r="X58" s="95"/>
      <c r="Y58" s="101"/>
      <c r="Z58" s="101"/>
      <c r="AA58" s="95"/>
      <c r="AB58" s="99"/>
      <c r="AC58" s="99"/>
      <c r="AD58" s="100"/>
      <c r="AE58" s="94"/>
      <c r="AF58" s="95"/>
      <c r="AG58" s="95"/>
      <c r="AH58" s="101"/>
      <c r="AI58" s="101"/>
      <c r="AJ58" s="95"/>
      <c r="AK58" s="99"/>
      <c r="AL58" s="99"/>
    </row>
    <row r="59" spans="1:38" ht="51" customHeight="1" x14ac:dyDescent="0.25">
      <c r="A59" s="132"/>
      <c r="B59" s="133"/>
      <c r="C59" s="133"/>
      <c r="D59" s="133"/>
      <c r="E59" s="133"/>
      <c r="F59" s="133"/>
      <c r="G59" s="16" t="s">
        <v>138</v>
      </c>
      <c r="H59" s="17">
        <v>43577</v>
      </c>
      <c r="I59" s="17">
        <v>43799</v>
      </c>
      <c r="J59" s="53" t="s">
        <v>93</v>
      </c>
      <c r="K59" s="97"/>
      <c r="L59" s="95"/>
      <c r="M59" s="94"/>
      <c r="N59" s="95"/>
      <c r="O59" s="95"/>
      <c r="P59" s="98"/>
      <c r="Q59" s="98"/>
      <c r="R59" s="95"/>
      <c r="S59" s="99"/>
      <c r="T59" s="99"/>
      <c r="U59" s="100"/>
      <c r="V59" s="94"/>
      <c r="W59" s="95"/>
      <c r="X59" s="95"/>
      <c r="Y59" s="101"/>
      <c r="Z59" s="101"/>
      <c r="AA59" s="95"/>
      <c r="AB59" s="99"/>
      <c r="AC59" s="99"/>
      <c r="AD59" s="100"/>
      <c r="AE59" s="94"/>
      <c r="AF59" s="95"/>
      <c r="AG59" s="95"/>
      <c r="AH59" s="101"/>
      <c r="AI59" s="101"/>
      <c r="AJ59" s="95"/>
      <c r="AK59" s="99"/>
      <c r="AL59" s="99"/>
    </row>
    <row r="60" spans="1:38" ht="35.25" customHeight="1" x14ac:dyDescent="0.25">
      <c r="A60" s="94" t="s">
        <v>39</v>
      </c>
      <c r="B60" s="95" t="s">
        <v>139</v>
      </c>
      <c r="C60" s="95">
        <v>12</v>
      </c>
      <c r="D60" s="95" t="s">
        <v>140</v>
      </c>
      <c r="E60" s="95">
        <v>0</v>
      </c>
      <c r="F60" s="95" t="s">
        <v>141</v>
      </c>
      <c r="G60" s="10" t="s">
        <v>142</v>
      </c>
      <c r="H60" s="11">
        <v>43480</v>
      </c>
      <c r="I60" s="11">
        <v>43768</v>
      </c>
      <c r="J60" s="35" t="s">
        <v>93</v>
      </c>
      <c r="K60" s="97" t="s">
        <v>94</v>
      </c>
      <c r="L60" s="95" t="s">
        <v>129</v>
      </c>
      <c r="M60" s="94" t="s">
        <v>143</v>
      </c>
      <c r="N60" s="95" t="s">
        <v>1301</v>
      </c>
      <c r="O60" s="95" t="s">
        <v>1301</v>
      </c>
      <c r="P60" s="98" t="str">
        <f>IFERROR((0/0),"No aplica")</f>
        <v>No aplica</v>
      </c>
      <c r="Q60" s="98">
        <f>IFERROR((0/2),"No aplica")</f>
        <v>0</v>
      </c>
      <c r="R60" s="95" t="s">
        <v>697</v>
      </c>
      <c r="S60" s="99" t="s">
        <v>1308</v>
      </c>
      <c r="T60" s="99" t="s">
        <v>1307</v>
      </c>
      <c r="U60" s="100" t="s">
        <v>1306</v>
      </c>
      <c r="V60" s="94" t="s">
        <v>143</v>
      </c>
      <c r="W60" s="102" t="s">
        <v>1301</v>
      </c>
      <c r="X60" s="95" t="s">
        <v>143</v>
      </c>
      <c r="Y60" s="134" t="str">
        <f>IFERROR((2/0),"No aplica")</f>
        <v>No aplica</v>
      </c>
      <c r="Z60" s="101">
        <f>IFERROR((2/2),"No aplica")</f>
        <v>1</v>
      </c>
      <c r="AA60" s="95" t="s">
        <v>692</v>
      </c>
      <c r="AB60" s="99" t="s">
        <v>1305</v>
      </c>
      <c r="AC60" s="99" t="s">
        <v>1304</v>
      </c>
      <c r="AD60" s="100" t="s">
        <v>1303</v>
      </c>
      <c r="AE60" s="94" t="s">
        <v>143</v>
      </c>
      <c r="AF60" s="102" t="s">
        <v>1302</v>
      </c>
      <c r="AG60" s="95" t="s">
        <v>1301</v>
      </c>
      <c r="AH60" s="135">
        <f>IFERROR((0/1),"No aplica")</f>
        <v>0</v>
      </c>
      <c r="AI60" s="101">
        <f>IFERROR((2/2),"No aplica")</f>
        <v>1</v>
      </c>
      <c r="AJ60" s="95" t="s">
        <v>692</v>
      </c>
      <c r="AK60" s="99" t="s">
        <v>1300</v>
      </c>
      <c r="AL60" s="99" t="s">
        <v>75</v>
      </c>
    </row>
    <row r="61" spans="1:38" ht="35.25" customHeight="1" x14ac:dyDescent="0.25">
      <c r="A61" s="94"/>
      <c r="B61" s="95"/>
      <c r="C61" s="95"/>
      <c r="D61" s="95"/>
      <c r="E61" s="95"/>
      <c r="F61" s="95"/>
      <c r="G61" s="10" t="s">
        <v>144</v>
      </c>
      <c r="H61" s="11">
        <v>43525</v>
      </c>
      <c r="I61" s="11">
        <v>43588</v>
      </c>
      <c r="J61" s="35" t="s">
        <v>93</v>
      </c>
      <c r="K61" s="97"/>
      <c r="L61" s="95"/>
      <c r="M61" s="94"/>
      <c r="N61" s="95"/>
      <c r="O61" s="95"/>
      <c r="P61" s="98"/>
      <c r="Q61" s="98"/>
      <c r="R61" s="95"/>
      <c r="S61" s="99"/>
      <c r="T61" s="99"/>
      <c r="U61" s="100"/>
      <c r="V61" s="94"/>
      <c r="W61" s="102"/>
      <c r="X61" s="95"/>
      <c r="Y61" s="101"/>
      <c r="Z61" s="101"/>
      <c r="AA61" s="95"/>
      <c r="AB61" s="99"/>
      <c r="AC61" s="99"/>
      <c r="AD61" s="100"/>
      <c r="AE61" s="94"/>
      <c r="AF61" s="102"/>
      <c r="AG61" s="95"/>
      <c r="AH61" s="135"/>
      <c r="AI61" s="101"/>
      <c r="AJ61" s="95"/>
      <c r="AK61" s="99"/>
      <c r="AL61" s="99"/>
    </row>
    <row r="62" spans="1:38" ht="35.25" customHeight="1" x14ac:dyDescent="0.25">
      <c r="A62" s="94"/>
      <c r="B62" s="95"/>
      <c r="C62" s="95"/>
      <c r="D62" s="95"/>
      <c r="E62" s="95"/>
      <c r="F62" s="95"/>
      <c r="G62" s="10" t="s">
        <v>145</v>
      </c>
      <c r="H62" s="11">
        <v>43591</v>
      </c>
      <c r="I62" s="11">
        <v>43617</v>
      </c>
      <c r="J62" s="35" t="s">
        <v>93</v>
      </c>
      <c r="K62" s="97"/>
      <c r="L62" s="95"/>
      <c r="M62" s="94"/>
      <c r="N62" s="95"/>
      <c r="O62" s="95"/>
      <c r="P62" s="98"/>
      <c r="Q62" s="98"/>
      <c r="R62" s="95"/>
      <c r="S62" s="99"/>
      <c r="T62" s="99"/>
      <c r="U62" s="100"/>
      <c r="V62" s="94"/>
      <c r="W62" s="102"/>
      <c r="X62" s="95"/>
      <c r="Y62" s="101"/>
      <c r="Z62" s="101"/>
      <c r="AA62" s="95"/>
      <c r="AB62" s="99"/>
      <c r="AC62" s="99"/>
      <c r="AD62" s="100"/>
      <c r="AE62" s="94"/>
      <c r="AF62" s="102"/>
      <c r="AG62" s="95"/>
      <c r="AH62" s="135"/>
      <c r="AI62" s="101"/>
      <c r="AJ62" s="95"/>
      <c r="AK62" s="99"/>
      <c r="AL62" s="99"/>
    </row>
    <row r="63" spans="1:38" ht="35.25" customHeight="1" x14ac:dyDescent="0.25">
      <c r="A63" s="94"/>
      <c r="B63" s="95"/>
      <c r="C63" s="95"/>
      <c r="D63" s="95"/>
      <c r="E63" s="95"/>
      <c r="F63" s="95"/>
      <c r="G63" s="10" t="s">
        <v>146</v>
      </c>
      <c r="H63" s="11">
        <v>43591</v>
      </c>
      <c r="I63" s="11">
        <v>43707</v>
      </c>
      <c r="J63" s="35" t="s">
        <v>93</v>
      </c>
      <c r="K63" s="97"/>
      <c r="L63" s="95"/>
      <c r="M63" s="94"/>
      <c r="N63" s="95"/>
      <c r="O63" s="95"/>
      <c r="P63" s="98"/>
      <c r="Q63" s="98"/>
      <c r="R63" s="95"/>
      <c r="S63" s="99"/>
      <c r="T63" s="99"/>
      <c r="U63" s="100"/>
      <c r="V63" s="94"/>
      <c r="W63" s="102"/>
      <c r="X63" s="95"/>
      <c r="Y63" s="101"/>
      <c r="Z63" s="101"/>
      <c r="AA63" s="95"/>
      <c r="AB63" s="99"/>
      <c r="AC63" s="99"/>
      <c r="AD63" s="100"/>
      <c r="AE63" s="94"/>
      <c r="AF63" s="102"/>
      <c r="AG63" s="95"/>
      <c r="AH63" s="135"/>
      <c r="AI63" s="101"/>
      <c r="AJ63" s="95"/>
      <c r="AK63" s="99"/>
      <c r="AL63" s="99"/>
    </row>
    <row r="64" spans="1:38" x14ac:dyDescent="0.25">
      <c r="A64" s="38" t="s">
        <v>51</v>
      </c>
      <c r="B64" s="39" t="s">
        <v>51</v>
      </c>
      <c r="C64" s="39"/>
      <c r="D64" s="39" t="s">
        <v>51</v>
      </c>
      <c r="E64" s="39" t="s">
        <v>51</v>
      </c>
      <c r="F64" s="39" t="s">
        <v>51</v>
      </c>
      <c r="G64" s="44" t="s">
        <v>51</v>
      </c>
      <c r="H64" s="39" t="s">
        <v>51</v>
      </c>
      <c r="I64" s="39" t="s">
        <v>51</v>
      </c>
      <c r="J64" s="43" t="s">
        <v>51</v>
      </c>
      <c r="K64" s="42" t="s">
        <v>51</v>
      </c>
      <c r="L64" s="39" t="s">
        <v>51</v>
      </c>
      <c r="M64" s="38" t="s">
        <v>51</v>
      </c>
      <c r="N64" s="39"/>
      <c r="O64" s="39"/>
      <c r="P64" s="41"/>
      <c r="Q64" s="41"/>
      <c r="R64" s="39"/>
      <c r="S64" s="37"/>
      <c r="T64" s="37"/>
      <c r="U64" s="40"/>
      <c r="V64" s="38" t="s">
        <v>51</v>
      </c>
      <c r="W64" s="39"/>
      <c r="X64" s="39"/>
      <c r="Y64" s="39"/>
      <c r="Z64" s="39"/>
      <c r="AA64" s="38" t="s">
        <v>51</v>
      </c>
      <c r="AB64" s="37"/>
      <c r="AC64" s="37"/>
      <c r="AD64" s="40"/>
      <c r="AE64" s="38" t="s">
        <v>51</v>
      </c>
      <c r="AF64" s="39"/>
      <c r="AG64" s="39"/>
      <c r="AH64" s="39"/>
      <c r="AI64" s="39"/>
      <c r="AJ64" s="38" t="s">
        <v>51</v>
      </c>
      <c r="AK64" s="37"/>
      <c r="AL64" s="37"/>
    </row>
    <row r="65" spans="1:38" ht="30.75" customHeight="1" x14ac:dyDescent="0.25">
      <c r="A65" s="132" t="s">
        <v>147</v>
      </c>
      <c r="B65" s="133" t="s">
        <v>148</v>
      </c>
      <c r="C65" s="133">
        <v>13</v>
      </c>
      <c r="D65" s="133" t="s">
        <v>149</v>
      </c>
      <c r="E65" s="133">
        <v>0</v>
      </c>
      <c r="F65" s="133" t="s">
        <v>150</v>
      </c>
      <c r="G65" s="16" t="s">
        <v>151</v>
      </c>
      <c r="H65" s="17">
        <v>43467</v>
      </c>
      <c r="I65" s="17">
        <v>43830</v>
      </c>
      <c r="J65" s="47" t="s">
        <v>152</v>
      </c>
      <c r="K65" s="119" t="s">
        <v>153</v>
      </c>
      <c r="L65" s="102" t="s">
        <v>154</v>
      </c>
      <c r="M65" s="117" t="s">
        <v>155</v>
      </c>
      <c r="N65" s="102" t="s">
        <v>1299</v>
      </c>
      <c r="O65" s="102" t="s">
        <v>1299</v>
      </c>
      <c r="P65" s="101">
        <f>IFERROR((11.76%/11.76%),"No aplica")</f>
        <v>1</v>
      </c>
      <c r="Q65" s="101">
        <f>IFERROR((10/85),"No aplica")</f>
        <v>0.11764705882352941</v>
      </c>
      <c r="R65" s="102" t="s">
        <v>692</v>
      </c>
      <c r="S65" s="106" t="s">
        <v>1298</v>
      </c>
      <c r="T65" s="106" t="s">
        <v>1297</v>
      </c>
      <c r="U65" s="107" t="s">
        <v>1296</v>
      </c>
      <c r="V65" s="117" t="s">
        <v>155</v>
      </c>
      <c r="W65" s="102" t="s">
        <v>1295</v>
      </c>
      <c r="X65" s="102" t="s">
        <v>1294</v>
      </c>
      <c r="Y65" s="101">
        <f>IFERROR((44.71%/42.35%),"No aplica")</f>
        <v>1.0557260920897285</v>
      </c>
      <c r="Z65" s="101">
        <f>IFERROR(((10+28)/85),"No aplica")</f>
        <v>0.44705882352941179</v>
      </c>
      <c r="AA65" s="102" t="s">
        <v>692</v>
      </c>
      <c r="AB65" s="106" t="s">
        <v>1293</v>
      </c>
      <c r="AC65" s="106" t="s">
        <v>1292</v>
      </c>
      <c r="AD65" s="107" t="s">
        <v>1291</v>
      </c>
      <c r="AE65" s="117" t="s">
        <v>155</v>
      </c>
      <c r="AF65" s="102" t="s">
        <v>1290</v>
      </c>
      <c r="AG65" s="102" t="s">
        <v>1289</v>
      </c>
      <c r="AH65" s="101">
        <f>IFERROR((29/22),"No aplica")</f>
        <v>1.3181818181818181</v>
      </c>
      <c r="AI65" s="101">
        <f>IFERROR(((10+28+29)/85),"No aplica")</f>
        <v>0.78823529411764703</v>
      </c>
      <c r="AJ65" s="102" t="s">
        <v>692</v>
      </c>
      <c r="AK65" s="106" t="s">
        <v>1288</v>
      </c>
      <c r="AL65" s="106" t="s">
        <v>1287</v>
      </c>
    </row>
    <row r="66" spans="1:38" ht="31.5" x14ac:dyDescent="0.25">
      <c r="A66" s="132"/>
      <c r="B66" s="133"/>
      <c r="C66" s="133"/>
      <c r="D66" s="133"/>
      <c r="E66" s="133"/>
      <c r="F66" s="133"/>
      <c r="G66" s="16" t="s">
        <v>156</v>
      </c>
      <c r="H66" s="17">
        <v>43498</v>
      </c>
      <c r="I66" s="17">
        <v>43831</v>
      </c>
      <c r="J66" s="47" t="s">
        <v>152</v>
      </c>
      <c r="K66" s="119"/>
      <c r="L66" s="102"/>
      <c r="M66" s="117"/>
      <c r="N66" s="102"/>
      <c r="O66" s="102"/>
      <c r="P66" s="101"/>
      <c r="Q66" s="101"/>
      <c r="R66" s="102"/>
      <c r="S66" s="106"/>
      <c r="T66" s="106"/>
      <c r="U66" s="107"/>
      <c r="V66" s="117"/>
      <c r="W66" s="102"/>
      <c r="X66" s="102"/>
      <c r="Y66" s="101"/>
      <c r="Z66" s="101"/>
      <c r="AA66" s="102"/>
      <c r="AB66" s="106"/>
      <c r="AC66" s="106"/>
      <c r="AD66" s="107"/>
      <c r="AE66" s="117"/>
      <c r="AF66" s="102"/>
      <c r="AG66" s="102"/>
      <c r="AH66" s="101"/>
      <c r="AI66" s="101"/>
      <c r="AJ66" s="102"/>
      <c r="AK66" s="106"/>
      <c r="AL66" s="106"/>
    </row>
    <row r="67" spans="1:38" ht="41.25" customHeight="1" x14ac:dyDescent="0.25">
      <c r="A67" s="132"/>
      <c r="B67" s="133"/>
      <c r="C67" s="133"/>
      <c r="D67" s="133"/>
      <c r="E67" s="133"/>
      <c r="F67" s="133"/>
      <c r="G67" s="16" t="s">
        <v>157</v>
      </c>
      <c r="H67" s="17">
        <v>43586</v>
      </c>
      <c r="I67" s="17">
        <v>43830</v>
      </c>
      <c r="J67" s="47" t="s">
        <v>152</v>
      </c>
      <c r="K67" s="119"/>
      <c r="L67" s="102"/>
      <c r="M67" s="117"/>
      <c r="N67" s="102"/>
      <c r="O67" s="102"/>
      <c r="P67" s="101"/>
      <c r="Q67" s="101"/>
      <c r="R67" s="102"/>
      <c r="S67" s="106"/>
      <c r="T67" s="106"/>
      <c r="U67" s="107"/>
      <c r="V67" s="117"/>
      <c r="W67" s="102"/>
      <c r="X67" s="102"/>
      <c r="Y67" s="101"/>
      <c r="Z67" s="101"/>
      <c r="AA67" s="102"/>
      <c r="AB67" s="106"/>
      <c r="AC67" s="106"/>
      <c r="AD67" s="107"/>
      <c r="AE67" s="117"/>
      <c r="AF67" s="102"/>
      <c r="AG67" s="102"/>
      <c r="AH67" s="101"/>
      <c r="AI67" s="101"/>
      <c r="AJ67" s="102"/>
      <c r="AK67" s="106"/>
      <c r="AL67" s="106"/>
    </row>
    <row r="68" spans="1:38" ht="64.5" customHeight="1" x14ac:dyDescent="0.25">
      <c r="A68" s="132"/>
      <c r="B68" s="133"/>
      <c r="C68" s="133"/>
      <c r="D68" s="133"/>
      <c r="E68" s="133"/>
      <c r="F68" s="133"/>
      <c r="G68" s="16" t="s">
        <v>158</v>
      </c>
      <c r="H68" s="17">
        <v>43467</v>
      </c>
      <c r="I68" s="17">
        <v>43830</v>
      </c>
      <c r="J68" s="47" t="s">
        <v>152</v>
      </c>
      <c r="K68" s="119"/>
      <c r="L68" s="102"/>
      <c r="M68" s="117"/>
      <c r="N68" s="102"/>
      <c r="O68" s="102"/>
      <c r="P68" s="101"/>
      <c r="Q68" s="101"/>
      <c r="R68" s="102"/>
      <c r="S68" s="106"/>
      <c r="T68" s="106"/>
      <c r="U68" s="107"/>
      <c r="V68" s="117"/>
      <c r="W68" s="102"/>
      <c r="X68" s="102"/>
      <c r="Y68" s="101"/>
      <c r="Z68" s="101"/>
      <c r="AA68" s="102"/>
      <c r="AB68" s="106"/>
      <c r="AC68" s="106"/>
      <c r="AD68" s="107"/>
      <c r="AE68" s="117"/>
      <c r="AF68" s="102"/>
      <c r="AG68" s="102"/>
      <c r="AH68" s="101"/>
      <c r="AI68" s="101"/>
      <c r="AJ68" s="102"/>
      <c r="AK68" s="106"/>
      <c r="AL68" s="106"/>
    </row>
    <row r="69" spans="1:38" ht="31.5" x14ac:dyDescent="0.25">
      <c r="A69" s="132"/>
      <c r="B69" s="133"/>
      <c r="C69" s="133"/>
      <c r="D69" s="133"/>
      <c r="E69" s="133"/>
      <c r="F69" s="133"/>
      <c r="G69" s="16" t="s">
        <v>159</v>
      </c>
      <c r="H69" s="17">
        <v>43467</v>
      </c>
      <c r="I69" s="17">
        <v>43830</v>
      </c>
      <c r="J69" s="47" t="s">
        <v>152</v>
      </c>
      <c r="K69" s="119"/>
      <c r="L69" s="102"/>
      <c r="M69" s="117"/>
      <c r="N69" s="102"/>
      <c r="O69" s="102"/>
      <c r="P69" s="101"/>
      <c r="Q69" s="101"/>
      <c r="R69" s="102"/>
      <c r="S69" s="106"/>
      <c r="T69" s="106"/>
      <c r="U69" s="107"/>
      <c r="V69" s="117"/>
      <c r="W69" s="102"/>
      <c r="X69" s="102"/>
      <c r="Y69" s="101"/>
      <c r="Z69" s="101"/>
      <c r="AA69" s="102"/>
      <c r="AB69" s="106"/>
      <c r="AC69" s="106"/>
      <c r="AD69" s="107"/>
      <c r="AE69" s="117"/>
      <c r="AF69" s="102"/>
      <c r="AG69" s="102"/>
      <c r="AH69" s="101"/>
      <c r="AI69" s="101"/>
      <c r="AJ69" s="102"/>
      <c r="AK69" s="106"/>
      <c r="AL69" s="106"/>
    </row>
    <row r="70" spans="1:38" ht="42" customHeight="1" x14ac:dyDescent="0.25">
      <c r="A70" s="132"/>
      <c r="B70" s="133"/>
      <c r="C70" s="133"/>
      <c r="D70" s="133"/>
      <c r="E70" s="133"/>
      <c r="F70" s="133"/>
      <c r="G70" s="16" t="s">
        <v>160</v>
      </c>
      <c r="H70" s="17">
        <v>43570</v>
      </c>
      <c r="I70" s="17">
        <v>43830</v>
      </c>
      <c r="J70" s="47" t="s">
        <v>152</v>
      </c>
      <c r="K70" s="119"/>
      <c r="L70" s="102"/>
      <c r="M70" s="117"/>
      <c r="N70" s="102"/>
      <c r="O70" s="102"/>
      <c r="P70" s="101"/>
      <c r="Q70" s="101"/>
      <c r="R70" s="102"/>
      <c r="S70" s="106"/>
      <c r="T70" s="106"/>
      <c r="U70" s="107"/>
      <c r="V70" s="117"/>
      <c r="W70" s="102"/>
      <c r="X70" s="102"/>
      <c r="Y70" s="101"/>
      <c r="Z70" s="101"/>
      <c r="AA70" s="102"/>
      <c r="AB70" s="106"/>
      <c r="AC70" s="106"/>
      <c r="AD70" s="107"/>
      <c r="AE70" s="117"/>
      <c r="AF70" s="102"/>
      <c r="AG70" s="102"/>
      <c r="AH70" s="101"/>
      <c r="AI70" s="101"/>
      <c r="AJ70" s="102"/>
      <c r="AK70" s="106"/>
      <c r="AL70" s="106"/>
    </row>
    <row r="71" spans="1:38" ht="42" customHeight="1" x14ac:dyDescent="0.25">
      <c r="A71" s="132"/>
      <c r="B71" s="133"/>
      <c r="C71" s="133"/>
      <c r="D71" s="133"/>
      <c r="E71" s="133"/>
      <c r="F71" s="133"/>
      <c r="G71" s="16" t="s">
        <v>1452</v>
      </c>
      <c r="H71" s="17">
        <v>43539</v>
      </c>
      <c r="I71" s="17">
        <v>43830</v>
      </c>
      <c r="J71" s="47" t="s">
        <v>152</v>
      </c>
      <c r="K71" s="119"/>
      <c r="L71" s="102"/>
      <c r="M71" s="117"/>
      <c r="N71" s="102"/>
      <c r="O71" s="102"/>
      <c r="P71" s="101"/>
      <c r="Q71" s="101"/>
      <c r="R71" s="102"/>
      <c r="S71" s="106"/>
      <c r="T71" s="106"/>
      <c r="U71" s="107"/>
      <c r="V71" s="117"/>
      <c r="W71" s="102"/>
      <c r="X71" s="102"/>
      <c r="Y71" s="101"/>
      <c r="Z71" s="101"/>
      <c r="AA71" s="102"/>
      <c r="AB71" s="106"/>
      <c r="AC71" s="106"/>
      <c r="AD71" s="107"/>
      <c r="AE71" s="117"/>
      <c r="AF71" s="102"/>
      <c r="AG71" s="102"/>
      <c r="AH71" s="101"/>
      <c r="AI71" s="101"/>
      <c r="AJ71" s="102"/>
      <c r="AK71" s="106"/>
      <c r="AL71" s="106"/>
    </row>
    <row r="72" spans="1:38" ht="52.5" customHeight="1" x14ac:dyDescent="0.25">
      <c r="A72" s="132"/>
      <c r="B72" s="133"/>
      <c r="C72" s="133"/>
      <c r="D72" s="133"/>
      <c r="E72" s="133"/>
      <c r="F72" s="133"/>
      <c r="G72" s="16" t="s">
        <v>161</v>
      </c>
      <c r="H72" s="17">
        <v>43467</v>
      </c>
      <c r="I72" s="17">
        <v>43830</v>
      </c>
      <c r="J72" s="47" t="s">
        <v>152</v>
      </c>
      <c r="K72" s="119"/>
      <c r="L72" s="102"/>
      <c r="M72" s="117"/>
      <c r="N72" s="102"/>
      <c r="O72" s="102"/>
      <c r="P72" s="101"/>
      <c r="Q72" s="101"/>
      <c r="R72" s="102"/>
      <c r="S72" s="106"/>
      <c r="T72" s="106"/>
      <c r="U72" s="107"/>
      <c r="V72" s="117"/>
      <c r="W72" s="102"/>
      <c r="X72" s="102"/>
      <c r="Y72" s="101"/>
      <c r="Z72" s="101"/>
      <c r="AA72" s="102"/>
      <c r="AB72" s="106"/>
      <c r="AC72" s="106"/>
      <c r="AD72" s="107"/>
      <c r="AE72" s="117"/>
      <c r="AF72" s="102"/>
      <c r="AG72" s="102"/>
      <c r="AH72" s="101"/>
      <c r="AI72" s="101"/>
      <c r="AJ72" s="102"/>
      <c r="AK72" s="106"/>
      <c r="AL72" s="106"/>
    </row>
    <row r="73" spans="1:38" ht="29.25" customHeight="1" x14ac:dyDescent="0.25">
      <c r="A73" s="132"/>
      <c r="B73" s="133"/>
      <c r="C73" s="133"/>
      <c r="D73" s="133"/>
      <c r="E73" s="133"/>
      <c r="F73" s="133"/>
      <c r="G73" s="16" t="s">
        <v>162</v>
      </c>
      <c r="H73" s="17">
        <v>43480</v>
      </c>
      <c r="I73" s="17">
        <v>43830</v>
      </c>
      <c r="J73" s="47" t="s">
        <v>152</v>
      </c>
      <c r="K73" s="119"/>
      <c r="L73" s="102"/>
      <c r="M73" s="117"/>
      <c r="N73" s="102"/>
      <c r="O73" s="102"/>
      <c r="P73" s="101"/>
      <c r="Q73" s="101"/>
      <c r="R73" s="102"/>
      <c r="S73" s="106"/>
      <c r="T73" s="106"/>
      <c r="U73" s="107"/>
      <c r="V73" s="117"/>
      <c r="W73" s="102"/>
      <c r="X73" s="102"/>
      <c r="Y73" s="101"/>
      <c r="Z73" s="101"/>
      <c r="AA73" s="102"/>
      <c r="AB73" s="106"/>
      <c r="AC73" s="106"/>
      <c r="AD73" s="107"/>
      <c r="AE73" s="117"/>
      <c r="AF73" s="102"/>
      <c r="AG73" s="102"/>
      <c r="AH73" s="101"/>
      <c r="AI73" s="101"/>
      <c r="AJ73" s="102"/>
      <c r="AK73" s="106"/>
      <c r="AL73" s="106"/>
    </row>
    <row r="74" spans="1:38" ht="41.25" customHeight="1" x14ac:dyDescent="0.25">
      <c r="A74" s="132"/>
      <c r="B74" s="133"/>
      <c r="C74" s="133"/>
      <c r="D74" s="133"/>
      <c r="E74" s="133"/>
      <c r="F74" s="133"/>
      <c r="G74" s="16" t="s">
        <v>163</v>
      </c>
      <c r="H74" s="17">
        <v>43617</v>
      </c>
      <c r="I74" s="17">
        <v>43830</v>
      </c>
      <c r="J74" s="47" t="s">
        <v>152</v>
      </c>
      <c r="K74" s="119"/>
      <c r="L74" s="102"/>
      <c r="M74" s="117"/>
      <c r="N74" s="102"/>
      <c r="O74" s="102"/>
      <c r="P74" s="101"/>
      <c r="Q74" s="101"/>
      <c r="R74" s="102"/>
      <c r="S74" s="106"/>
      <c r="T74" s="106"/>
      <c r="U74" s="107"/>
      <c r="V74" s="117"/>
      <c r="W74" s="102"/>
      <c r="X74" s="102"/>
      <c r="Y74" s="101"/>
      <c r="Z74" s="101"/>
      <c r="AA74" s="102"/>
      <c r="AB74" s="106"/>
      <c r="AC74" s="106"/>
      <c r="AD74" s="107"/>
      <c r="AE74" s="117"/>
      <c r="AF74" s="102"/>
      <c r="AG74" s="102"/>
      <c r="AH74" s="101"/>
      <c r="AI74" s="101"/>
      <c r="AJ74" s="102"/>
      <c r="AK74" s="106"/>
      <c r="AL74" s="106"/>
    </row>
    <row r="75" spans="1:38" ht="57.75" customHeight="1" x14ac:dyDescent="0.25">
      <c r="A75" s="132"/>
      <c r="B75" s="133"/>
      <c r="C75" s="133"/>
      <c r="D75" s="133"/>
      <c r="E75" s="133"/>
      <c r="F75" s="133"/>
      <c r="G75" s="16" t="s">
        <v>164</v>
      </c>
      <c r="H75" s="17">
        <v>43466</v>
      </c>
      <c r="I75" s="17">
        <v>43830</v>
      </c>
      <c r="J75" s="47" t="s">
        <v>152</v>
      </c>
      <c r="K75" s="119"/>
      <c r="L75" s="102"/>
      <c r="M75" s="117"/>
      <c r="N75" s="102"/>
      <c r="O75" s="102"/>
      <c r="P75" s="101"/>
      <c r="Q75" s="101"/>
      <c r="R75" s="102"/>
      <c r="S75" s="106"/>
      <c r="T75" s="106"/>
      <c r="U75" s="107"/>
      <c r="V75" s="117"/>
      <c r="W75" s="102"/>
      <c r="X75" s="102"/>
      <c r="Y75" s="101"/>
      <c r="Z75" s="101"/>
      <c r="AA75" s="102"/>
      <c r="AB75" s="106"/>
      <c r="AC75" s="106"/>
      <c r="AD75" s="107"/>
      <c r="AE75" s="117"/>
      <c r="AF75" s="102"/>
      <c r="AG75" s="102"/>
      <c r="AH75" s="101"/>
      <c r="AI75" s="101"/>
      <c r="AJ75" s="102"/>
      <c r="AK75" s="106"/>
      <c r="AL75" s="106"/>
    </row>
    <row r="76" spans="1:38" ht="31.5" x14ac:dyDescent="0.25">
      <c r="A76" s="132"/>
      <c r="B76" s="133"/>
      <c r="C76" s="133"/>
      <c r="D76" s="133"/>
      <c r="E76" s="133"/>
      <c r="F76" s="133"/>
      <c r="G76" s="16" t="s">
        <v>165</v>
      </c>
      <c r="H76" s="17">
        <v>43467</v>
      </c>
      <c r="I76" s="17">
        <v>43830</v>
      </c>
      <c r="J76" s="47" t="s">
        <v>152</v>
      </c>
      <c r="K76" s="119"/>
      <c r="L76" s="102"/>
      <c r="M76" s="117"/>
      <c r="N76" s="102"/>
      <c r="O76" s="102"/>
      <c r="P76" s="101"/>
      <c r="Q76" s="101"/>
      <c r="R76" s="102"/>
      <c r="S76" s="106"/>
      <c r="T76" s="106"/>
      <c r="U76" s="107"/>
      <c r="V76" s="117"/>
      <c r="W76" s="102"/>
      <c r="X76" s="102"/>
      <c r="Y76" s="101"/>
      <c r="Z76" s="101"/>
      <c r="AA76" s="102"/>
      <c r="AB76" s="106"/>
      <c r="AC76" s="106"/>
      <c r="AD76" s="107"/>
      <c r="AE76" s="117"/>
      <c r="AF76" s="102"/>
      <c r="AG76" s="102"/>
      <c r="AH76" s="101"/>
      <c r="AI76" s="101"/>
      <c r="AJ76" s="102"/>
      <c r="AK76" s="106"/>
      <c r="AL76" s="106"/>
    </row>
    <row r="77" spans="1:38" ht="33" customHeight="1" x14ac:dyDescent="0.25">
      <c r="A77" s="117" t="s">
        <v>147</v>
      </c>
      <c r="B77" s="102" t="s">
        <v>148</v>
      </c>
      <c r="C77" s="102">
        <v>14</v>
      </c>
      <c r="D77" s="102" t="s">
        <v>166</v>
      </c>
      <c r="E77" s="102">
        <v>0</v>
      </c>
      <c r="F77" s="102" t="s">
        <v>167</v>
      </c>
      <c r="G77" s="81" t="s">
        <v>168</v>
      </c>
      <c r="H77" s="12">
        <v>43467</v>
      </c>
      <c r="I77" s="12">
        <v>43830</v>
      </c>
      <c r="J77" s="46" t="s">
        <v>152</v>
      </c>
      <c r="K77" s="119" t="s">
        <v>153</v>
      </c>
      <c r="L77" s="102" t="s">
        <v>169</v>
      </c>
      <c r="M77" s="117" t="s">
        <v>170</v>
      </c>
      <c r="N77" s="102" t="s">
        <v>1286</v>
      </c>
      <c r="O77" s="102" t="s">
        <v>1286</v>
      </c>
      <c r="P77" s="101">
        <f>IFERROR((3/3),"No aplica")</f>
        <v>1</v>
      </c>
      <c r="Q77" s="101">
        <f>IFERROR((3/4),"No aplica")</f>
        <v>0.75</v>
      </c>
      <c r="R77" s="102" t="s">
        <v>692</v>
      </c>
      <c r="S77" s="106" t="s">
        <v>1285</v>
      </c>
      <c r="T77" s="106" t="s">
        <v>1284</v>
      </c>
      <c r="U77" s="107" t="s">
        <v>1283</v>
      </c>
      <c r="V77" s="117" t="s">
        <v>170</v>
      </c>
      <c r="W77" s="102" t="s">
        <v>1278</v>
      </c>
      <c r="X77" s="102" t="s">
        <v>1278</v>
      </c>
      <c r="Y77" s="101" t="str">
        <f>IFERROR((0/0),"No aplica")</f>
        <v>No aplica</v>
      </c>
      <c r="Z77" s="101">
        <f>IFERROR((3/4),"No aplica")</f>
        <v>0.75</v>
      </c>
      <c r="AA77" s="102" t="s">
        <v>692</v>
      </c>
      <c r="AB77" s="106" t="s">
        <v>1282</v>
      </c>
      <c r="AC77" s="106" t="s">
        <v>1281</v>
      </c>
      <c r="AD77" s="107" t="s">
        <v>1280</v>
      </c>
      <c r="AE77" s="117" t="s">
        <v>170</v>
      </c>
      <c r="AF77" s="102" t="s">
        <v>1279</v>
      </c>
      <c r="AG77" s="102" t="s">
        <v>1278</v>
      </c>
      <c r="AH77" s="101">
        <f>IFERROR((0/1),"No aplica")</f>
        <v>0</v>
      </c>
      <c r="AI77" s="101">
        <f>IFERROR((3/4),"No aplica")</f>
        <v>0.75</v>
      </c>
      <c r="AJ77" s="102" t="s">
        <v>713</v>
      </c>
      <c r="AK77" s="106" t="s">
        <v>1277</v>
      </c>
      <c r="AL77" s="106" t="s">
        <v>1276</v>
      </c>
    </row>
    <row r="78" spans="1:38" ht="31.5" x14ac:dyDescent="0.25">
      <c r="A78" s="117"/>
      <c r="B78" s="102"/>
      <c r="C78" s="102"/>
      <c r="D78" s="102"/>
      <c r="E78" s="102"/>
      <c r="F78" s="102"/>
      <c r="G78" s="81" t="s">
        <v>171</v>
      </c>
      <c r="H78" s="12">
        <v>43497</v>
      </c>
      <c r="I78" s="12">
        <v>43830</v>
      </c>
      <c r="J78" s="46" t="s">
        <v>152</v>
      </c>
      <c r="K78" s="119"/>
      <c r="L78" s="102"/>
      <c r="M78" s="117"/>
      <c r="N78" s="102"/>
      <c r="O78" s="102"/>
      <c r="P78" s="101"/>
      <c r="Q78" s="101"/>
      <c r="R78" s="102"/>
      <c r="S78" s="106"/>
      <c r="T78" s="106"/>
      <c r="U78" s="107"/>
      <c r="V78" s="117"/>
      <c r="W78" s="102"/>
      <c r="X78" s="102"/>
      <c r="Y78" s="101"/>
      <c r="Z78" s="101"/>
      <c r="AA78" s="102"/>
      <c r="AB78" s="106"/>
      <c r="AC78" s="106"/>
      <c r="AD78" s="107"/>
      <c r="AE78" s="117"/>
      <c r="AF78" s="102"/>
      <c r="AG78" s="102"/>
      <c r="AH78" s="101"/>
      <c r="AI78" s="101"/>
      <c r="AJ78" s="102"/>
      <c r="AK78" s="106"/>
      <c r="AL78" s="106"/>
    </row>
    <row r="79" spans="1:38" ht="31.5" x14ac:dyDescent="0.25">
      <c r="A79" s="117"/>
      <c r="B79" s="102"/>
      <c r="C79" s="102"/>
      <c r="D79" s="102"/>
      <c r="E79" s="102"/>
      <c r="F79" s="102"/>
      <c r="G79" s="81" t="s">
        <v>172</v>
      </c>
      <c r="H79" s="12">
        <v>43617</v>
      </c>
      <c r="I79" s="12">
        <v>43830</v>
      </c>
      <c r="J79" s="46" t="s">
        <v>152</v>
      </c>
      <c r="K79" s="119"/>
      <c r="L79" s="102"/>
      <c r="M79" s="117"/>
      <c r="N79" s="102"/>
      <c r="O79" s="102"/>
      <c r="P79" s="101"/>
      <c r="Q79" s="101"/>
      <c r="R79" s="102"/>
      <c r="S79" s="106"/>
      <c r="T79" s="106"/>
      <c r="U79" s="107"/>
      <c r="V79" s="117"/>
      <c r="W79" s="102"/>
      <c r="X79" s="102"/>
      <c r="Y79" s="101"/>
      <c r="Z79" s="101"/>
      <c r="AA79" s="102"/>
      <c r="AB79" s="106"/>
      <c r="AC79" s="106"/>
      <c r="AD79" s="107"/>
      <c r="AE79" s="117"/>
      <c r="AF79" s="102"/>
      <c r="AG79" s="102"/>
      <c r="AH79" s="101"/>
      <c r="AI79" s="101"/>
      <c r="AJ79" s="102"/>
      <c r="AK79" s="106"/>
      <c r="AL79" s="106"/>
    </row>
    <row r="80" spans="1:38" ht="31.5" x14ac:dyDescent="0.25">
      <c r="A80" s="117"/>
      <c r="B80" s="102"/>
      <c r="C80" s="102"/>
      <c r="D80" s="102"/>
      <c r="E80" s="102"/>
      <c r="F80" s="102"/>
      <c r="G80" s="81" t="s">
        <v>173</v>
      </c>
      <c r="H80" s="12">
        <v>43467</v>
      </c>
      <c r="I80" s="12">
        <v>43830</v>
      </c>
      <c r="J80" s="46" t="s">
        <v>152</v>
      </c>
      <c r="K80" s="119"/>
      <c r="L80" s="102"/>
      <c r="M80" s="117"/>
      <c r="N80" s="102"/>
      <c r="O80" s="102"/>
      <c r="P80" s="101"/>
      <c r="Q80" s="101"/>
      <c r="R80" s="102"/>
      <c r="S80" s="106"/>
      <c r="T80" s="106"/>
      <c r="U80" s="107"/>
      <c r="V80" s="117"/>
      <c r="W80" s="102"/>
      <c r="X80" s="102"/>
      <c r="Y80" s="101"/>
      <c r="Z80" s="101"/>
      <c r="AA80" s="102"/>
      <c r="AB80" s="106"/>
      <c r="AC80" s="106"/>
      <c r="AD80" s="107"/>
      <c r="AE80" s="117"/>
      <c r="AF80" s="102"/>
      <c r="AG80" s="102"/>
      <c r="AH80" s="101"/>
      <c r="AI80" s="101"/>
      <c r="AJ80" s="102"/>
      <c r="AK80" s="106"/>
      <c r="AL80" s="106"/>
    </row>
    <row r="81" spans="1:38" x14ac:dyDescent="0.25">
      <c r="A81" s="38" t="s">
        <v>51</v>
      </c>
      <c r="B81" s="39" t="s">
        <v>51</v>
      </c>
      <c r="C81" s="39"/>
      <c r="D81" s="39" t="s">
        <v>51</v>
      </c>
      <c r="E81" s="39" t="s">
        <v>51</v>
      </c>
      <c r="F81" s="39" t="s">
        <v>51</v>
      </c>
      <c r="G81" s="44" t="s">
        <v>51</v>
      </c>
      <c r="H81" s="39" t="s">
        <v>51</v>
      </c>
      <c r="I81" s="39" t="s">
        <v>51</v>
      </c>
      <c r="J81" s="43" t="s">
        <v>51</v>
      </c>
      <c r="K81" s="42" t="s">
        <v>51</v>
      </c>
      <c r="L81" s="39" t="s">
        <v>51</v>
      </c>
      <c r="M81" s="38" t="s">
        <v>51</v>
      </c>
      <c r="N81" s="39"/>
      <c r="O81" s="39"/>
      <c r="P81" s="41"/>
      <c r="Q81" s="41"/>
      <c r="R81" s="39"/>
      <c r="S81" s="37"/>
      <c r="T81" s="37"/>
      <c r="U81" s="40"/>
      <c r="V81" s="38" t="s">
        <v>51</v>
      </c>
      <c r="W81" s="39"/>
      <c r="X81" s="39"/>
      <c r="Y81" s="39"/>
      <c r="Z81" s="39"/>
      <c r="AA81" s="38" t="s">
        <v>51</v>
      </c>
      <c r="AB81" s="37"/>
      <c r="AC81" s="37"/>
      <c r="AD81" s="40"/>
      <c r="AE81" s="38" t="s">
        <v>51</v>
      </c>
      <c r="AF81" s="39"/>
      <c r="AG81" s="39"/>
      <c r="AH81" s="39"/>
      <c r="AI81" s="39"/>
      <c r="AJ81" s="38" t="s">
        <v>51</v>
      </c>
      <c r="AK81" s="37"/>
      <c r="AL81" s="37"/>
    </row>
    <row r="82" spans="1:38" ht="24" customHeight="1" x14ac:dyDescent="0.25">
      <c r="A82" s="117" t="s">
        <v>174</v>
      </c>
      <c r="B82" s="102" t="s">
        <v>175</v>
      </c>
      <c r="C82" s="102">
        <v>15</v>
      </c>
      <c r="D82" s="102" t="s">
        <v>176</v>
      </c>
      <c r="E82" s="102" t="s">
        <v>177</v>
      </c>
      <c r="F82" s="102" t="s">
        <v>178</v>
      </c>
      <c r="G82" s="81" t="s">
        <v>179</v>
      </c>
      <c r="H82" s="12">
        <v>43467</v>
      </c>
      <c r="I82" s="12">
        <v>43554</v>
      </c>
      <c r="J82" s="51" t="s">
        <v>180</v>
      </c>
      <c r="K82" s="119" t="s">
        <v>181</v>
      </c>
      <c r="L82" s="102" t="s">
        <v>182</v>
      </c>
      <c r="M82" s="117" t="s">
        <v>183</v>
      </c>
      <c r="N82" s="101" t="s">
        <v>1267</v>
      </c>
      <c r="O82" s="108" t="s">
        <v>1275</v>
      </c>
      <c r="P82" s="101">
        <f>IFERROR(((25/71)/(31/71)),"No aplica")</f>
        <v>0.80645161290322576</v>
      </c>
      <c r="Q82" s="127" t="s">
        <v>750</v>
      </c>
      <c r="R82" s="102" t="s">
        <v>1220</v>
      </c>
      <c r="S82" s="106" t="s">
        <v>1274</v>
      </c>
      <c r="T82" s="106" t="s">
        <v>1273</v>
      </c>
      <c r="U82" s="107" t="s">
        <v>1272</v>
      </c>
      <c r="V82" s="117" t="s">
        <v>183</v>
      </c>
      <c r="W82" s="101" t="s">
        <v>1267</v>
      </c>
      <c r="X82" s="108" t="s">
        <v>1271</v>
      </c>
      <c r="Y82" s="108">
        <f>IFERROR(((31/71)/(43/71)),"No aplica")</f>
        <v>0.72093023255813948</v>
      </c>
      <c r="Z82" s="127" t="s">
        <v>750</v>
      </c>
      <c r="AA82" s="102" t="s">
        <v>713</v>
      </c>
      <c r="AB82" s="106" t="s">
        <v>1270</v>
      </c>
      <c r="AC82" s="106" t="s">
        <v>1269</v>
      </c>
      <c r="AD82" s="107" t="s">
        <v>1268</v>
      </c>
      <c r="AE82" s="117" t="s">
        <v>183</v>
      </c>
      <c r="AF82" s="101" t="s">
        <v>1267</v>
      </c>
      <c r="AG82" s="108" t="s">
        <v>1266</v>
      </c>
      <c r="AH82" s="108">
        <f>IFERROR(((39/70)/(57/70)),"No aplica")</f>
        <v>0.68421052631578949</v>
      </c>
      <c r="AI82" s="127" t="s">
        <v>750</v>
      </c>
      <c r="AJ82" s="102" t="s">
        <v>713</v>
      </c>
      <c r="AK82" s="106" t="s">
        <v>1265</v>
      </c>
      <c r="AL82" s="106"/>
    </row>
    <row r="83" spans="1:38" ht="24" customHeight="1" x14ac:dyDescent="0.25">
      <c r="A83" s="117"/>
      <c r="B83" s="102"/>
      <c r="C83" s="102"/>
      <c r="D83" s="102"/>
      <c r="E83" s="102"/>
      <c r="F83" s="102"/>
      <c r="G83" s="81" t="s">
        <v>184</v>
      </c>
      <c r="H83" s="12">
        <v>43556</v>
      </c>
      <c r="I83" s="12">
        <v>43830</v>
      </c>
      <c r="J83" s="51" t="s">
        <v>180</v>
      </c>
      <c r="K83" s="119"/>
      <c r="L83" s="102"/>
      <c r="M83" s="117"/>
      <c r="N83" s="102"/>
      <c r="O83" s="108"/>
      <c r="P83" s="101"/>
      <c r="Q83" s="127"/>
      <c r="R83" s="102"/>
      <c r="S83" s="106"/>
      <c r="T83" s="106"/>
      <c r="U83" s="107"/>
      <c r="V83" s="117"/>
      <c r="W83" s="102"/>
      <c r="X83" s="108"/>
      <c r="Y83" s="108"/>
      <c r="Z83" s="127"/>
      <c r="AA83" s="102"/>
      <c r="AB83" s="136"/>
      <c r="AC83" s="106"/>
      <c r="AD83" s="107"/>
      <c r="AE83" s="117"/>
      <c r="AF83" s="102"/>
      <c r="AG83" s="108"/>
      <c r="AH83" s="108"/>
      <c r="AI83" s="127"/>
      <c r="AJ83" s="102"/>
      <c r="AK83" s="136"/>
      <c r="AL83" s="106"/>
    </row>
    <row r="84" spans="1:38" ht="24" customHeight="1" x14ac:dyDescent="0.25">
      <c r="A84" s="117"/>
      <c r="B84" s="102"/>
      <c r="C84" s="102"/>
      <c r="D84" s="102"/>
      <c r="E84" s="102"/>
      <c r="F84" s="102"/>
      <c r="G84" s="81" t="s">
        <v>185</v>
      </c>
      <c r="H84" s="12">
        <v>43570</v>
      </c>
      <c r="I84" s="12">
        <v>43830</v>
      </c>
      <c r="J84" s="51" t="s">
        <v>180</v>
      </c>
      <c r="K84" s="119"/>
      <c r="L84" s="102"/>
      <c r="M84" s="117"/>
      <c r="N84" s="102"/>
      <c r="O84" s="108"/>
      <c r="P84" s="101"/>
      <c r="Q84" s="127"/>
      <c r="R84" s="102"/>
      <c r="S84" s="106"/>
      <c r="T84" s="106"/>
      <c r="U84" s="107"/>
      <c r="V84" s="117"/>
      <c r="W84" s="102"/>
      <c r="X84" s="108"/>
      <c r="Y84" s="108"/>
      <c r="Z84" s="127"/>
      <c r="AA84" s="102"/>
      <c r="AB84" s="136"/>
      <c r="AC84" s="106"/>
      <c r="AD84" s="107"/>
      <c r="AE84" s="117"/>
      <c r="AF84" s="102"/>
      <c r="AG84" s="108"/>
      <c r="AH84" s="108"/>
      <c r="AI84" s="127"/>
      <c r="AJ84" s="102"/>
      <c r="AK84" s="136"/>
      <c r="AL84" s="106"/>
    </row>
    <row r="85" spans="1:38" ht="24" customHeight="1" x14ac:dyDescent="0.25">
      <c r="A85" s="117"/>
      <c r="B85" s="102"/>
      <c r="C85" s="102"/>
      <c r="D85" s="102"/>
      <c r="E85" s="102"/>
      <c r="F85" s="102"/>
      <c r="G85" s="81" t="s">
        <v>186</v>
      </c>
      <c r="H85" s="12">
        <v>43587</v>
      </c>
      <c r="I85" s="12">
        <v>43830</v>
      </c>
      <c r="J85" s="51" t="s">
        <v>180</v>
      </c>
      <c r="K85" s="119"/>
      <c r="L85" s="102"/>
      <c r="M85" s="117"/>
      <c r="N85" s="102"/>
      <c r="O85" s="108"/>
      <c r="P85" s="101"/>
      <c r="Q85" s="127"/>
      <c r="R85" s="102"/>
      <c r="S85" s="106"/>
      <c r="T85" s="106"/>
      <c r="U85" s="107"/>
      <c r="V85" s="117"/>
      <c r="W85" s="102"/>
      <c r="X85" s="108"/>
      <c r="Y85" s="108"/>
      <c r="Z85" s="127"/>
      <c r="AA85" s="102"/>
      <c r="AB85" s="136"/>
      <c r="AC85" s="106"/>
      <c r="AD85" s="107"/>
      <c r="AE85" s="117"/>
      <c r="AF85" s="102"/>
      <c r="AG85" s="108"/>
      <c r="AH85" s="108"/>
      <c r="AI85" s="127"/>
      <c r="AJ85" s="102"/>
      <c r="AK85" s="136"/>
      <c r="AL85" s="106"/>
    </row>
    <row r="86" spans="1:38" ht="24" customHeight="1" x14ac:dyDescent="0.25">
      <c r="A86" s="117"/>
      <c r="B86" s="102"/>
      <c r="C86" s="102"/>
      <c r="D86" s="102"/>
      <c r="E86" s="102"/>
      <c r="F86" s="102"/>
      <c r="G86" s="81" t="s">
        <v>187</v>
      </c>
      <c r="H86" s="12">
        <v>43678</v>
      </c>
      <c r="I86" s="12">
        <v>43830</v>
      </c>
      <c r="J86" s="51" t="s">
        <v>180</v>
      </c>
      <c r="K86" s="119"/>
      <c r="L86" s="102"/>
      <c r="M86" s="117"/>
      <c r="N86" s="102"/>
      <c r="O86" s="108"/>
      <c r="P86" s="101"/>
      <c r="Q86" s="127"/>
      <c r="R86" s="102"/>
      <c r="S86" s="106"/>
      <c r="T86" s="106"/>
      <c r="U86" s="107"/>
      <c r="V86" s="117"/>
      <c r="W86" s="102"/>
      <c r="X86" s="108"/>
      <c r="Y86" s="108"/>
      <c r="Z86" s="127"/>
      <c r="AA86" s="102"/>
      <c r="AB86" s="136"/>
      <c r="AC86" s="106"/>
      <c r="AD86" s="107"/>
      <c r="AE86" s="117"/>
      <c r="AF86" s="102"/>
      <c r="AG86" s="108"/>
      <c r="AH86" s="108"/>
      <c r="AI86" s="127"/>
      <c r="AJ86" s="102"/>
      <c r="AK86" s="136"/>
      <c r="AL86" s="106"/>
    </row>
    <row r="87" spans="1:38" ht="24" customHeight="1" x14ac:dyDescent="0.25">
      <c r="A87" s="117"/>
      <c r="B87" s="102"/>
      <c r="C87" s="102"/>
      <c r="D87" s="102"/>
      <c r="E87" s="102"/>
      <c r="F87" s="102" t="s">
        <v>188</v>
      </c>
      <c r="G87" s="81" t="s">
        <v>189</v>
      </c>
      <c r="H87" s="12">
        <v>43678</v>
      </c>
      <c r="I87" s="12">
        <v>43830</v>
      </c>
      <c r="J87" s="51" t="s">
        <v>180</v>
      </c>
      <c r="K87" s="119"/>
      <c r="L87" s="102"/>
      <c r="M87" s="117"/>
      <c r="N87" s="102"/>
      <c r="O87" s="108"/>
      <c r="P87" s="101"/>
      <c r="Q87" s="127"/>
      <c r="R87" s="102"/>
      <c r="S87" s="106"/>
      <c r="T87" s="106"/>
      <c r="U87" s="107"/>
      <c r="V87" s="117"/>
      <c r="W87" s="102"/>
      <c r="X87" s="108"/>
      <c r="Y87" s="108"/>
      <c r="Z87" s="127"/>
      <c r="AA87" s="102"/>
      <c r="AB87" s="136"/>
      <c r="AC87" s="106"/>
      <c r="AD87" s="107"/>
      <c r="AE87" s="117"/>
      <c r="AF87" s="102"/>
      <c r="AG87" s="108"/>
      <c r="AH87" s="108"/>
      <c r="AI87" s="127"/>
      <c r="AJ87" s="102"/>
      <c r="AK87" s="136"/>
      <c r="AL87" s="106"/>
    </row>
    <row r="88" spans="1:38" ht="24" customHeight="1" x14ac:dyDescent="0.25">
      <c r="A88" s="117"/>
      <c r="B88" s="102"/>
      <c r="C88" s="102"/>
      <c r="D88" s="102"/>
      <c r="E88" s="102"/>
      <c r="F88" s="102"/>
      <c r="G88" s="81" t="s">
        <v>190</v>
      </c>
      <c r="H88" s="12">
        <v>43678</v>
      </c>
      <c r="I88" s="12">
        <v>43830</v>
      </c>
      <c r="J88" s="51" t="s">
        <v>180</v>
      </c>
      <c r="K88" s="119"/>
      <c r="L88" s="102"/>
      <c r="M88" s="117"/>
      <c r="N88" s="102"/>
      <c r="O88" s="108"/>
      <c r="P88" s="101"/>
      <c r="Q88" s="127"/>
      <c r="R88" s="102"/>
      <c r="S88" s="106"/>
      <c r="T88" s="106"/>
      <c r="U88" s="107"/>
      <c r="V88" s="117"/>
      <c r="W88" s="102"/>
      <c r="X88" s="108"/>
      <c r="Y88" s="108"/>
      <c r="Z88" s="127"/>
      <c r="AA88" s="102"/>
      <c r="AB88" s="136"/>
      <c r="AC88" s="106"/>
      <c r="AD88" s="107"/>
      <c r="AE88" s="117"/>
      <c r="AF88" s="102"/>
      <c r="AG88" s="108"/>
      <c r="AH88" s="108"/>
      <c r="AI88" s="127"/>
      <c r="AJ88" s="102"/>
      <c r="AK88" s="136"/>
      <c r="AL88" s="106"/>
    </row>
    <row r="89" spans="1:38" ht="69.75" customHeight="1" x14ac:dyDescent="0.25">
      <c r="A89" s="129" t="s">
        <v>39</v>
      </c>
      <c r="B89" s="130" t="s">
        <v>191</v>
      </c>
      <c r="C89" s="130">
        <v>16</v>
      </c>
      <c r="D89" s="130" t="s">
        <v>192</v>
      </c>
      <c r="E89" s="130">
        <v>0</v>
      </c>
      <c r="F89" s="130" t="s">
        <v>193</v>
      </c>
      <c r="G89" s="14" t="s">
        <v>194</v>
      </c>
      <c r="H89" s="15">
        <v>43467</v>
      </c>
      <c r="I89" s="15">
        <v>43830</v>
      </c>
      <c r="J89" s="36" t="s">
        <v>180</v>
      </c>
      <c r="K89" s="119" t="s">
        <v>181</v>
      </c>
      <c r="L89" s="102" t="s">
        <v>195</v>
      </c>
      <c r="M89" s="117" t="s">
        <v>196</v>
      </c>
      <c r="N89" s="102" t="s">
        <v>1264</v>
      </c>
      <c r="O89" s="102" t="s">
        <v>1264</v>
      </c>
      <c r="P89" s="101">
        <f>IFERROR((1%/1%),"No aplica")</f>
        <v>1</v>
      </c>
      <c r="Q89" s="101">
        <f>IFERROR((1%/50%),"No aplica")</f>
        <v>0.02</v>
      </c>
      <c r="R89" s="102" t="s">
        <v>692</v>
      </c>
      <c r="S89" s="106" t="s">
        <v>1263</v>
      </c>
      <c r="T89" s="106" t="s">
        <v>1262</v>
      </c>
      <c r="U89" s="107" t="s">
        <v>1261</v>
      </c>
      <c r="V89" s="117" t="s">
        <v>196</v>
      </c>
      <c r="W89" s="102" t="s">
        <v>1260</v>
      </c>
      <c r="X89" s="102" t="s">
        <v>1259</v>
      </c>
      <c r="Y89" s="101">
        <f>IFERROR((18.1%/20%),"No aplica")</f>
        <v>0.90500000000000003</v>
      </c>
      <c r="Z89" s="101">
        <f>IFERROR(((1%+18.1%)/50%),"No aplica")</f>
        <v>0.38200000000000006</v>
      </c>
      <c r="AA89" s="102" t="s">
        <v>1220</v>
      </c>
      <c r="AB89" s="106" t="s">
        <v>1258</v>
      </c>
      <c r="AC89" s="106" t="s">
        <v>1257</v>
      </c>
      <c r="AD89" s="107" t="s">
        <v>1256</v>
      </c>
      <c r="AE89" s="117" t="s">
        <v>196</v>
      </c>
      <c r="AF89" s="102" t="s">
        <v>1255</v>
      </c>
      <c r="AG89" s="102" t="s">
        <v>1254</v>
      </c>
      <c r="AH89" s="101">
        <f>IFERROR((20.8%/23%),"No aplica")</f>
        <v>0.90434782608695652</v>
      </c>
      <c r="AI89" s="101">
        <f>IFERROR(((1%+18.1%+20.8%)/50%),"No aplica")</f>
        <v>0.79800000000000004</v>
      </c>
      <c r="AJ89" s="102" t="s">
        <v>1220</v>
      </c>
      <c r="AK89" s="106" t="s">
        <v>1253</v>
      </c>
      <c r="AL89" s="106" t="s">
        <v>1252</v>
      </c>
    </row>
    <row r="90" spans="1:38" ht="69.75" customHeight="1" x14ac:dyDescent="0.25">
      <c r="A90" s="129"/>
      <c r="B90" s="130"/>
      <c r="C90" s="130"/>
      <c r="D90" s="130"/>
      <c r="E90" s="130"/>
      <c r="F90" s="130"/>
      <c r="G90" s="14" t="s">
        <v>197</v>
      </c>
      <c r="H90" s="15">
        <v>43739</v>
      </c>
      <c r="I90" s="15">
        <v>43830</v>
      </c>
      <c r="J90" s="36" t="s">
        <v>180</v>
      </c>
      <c r="K90" s="119"/>
      <c r="L90" s="102"/>
      <c r="M90" s="117"/>
      <c r="N90" s="102"/>
      <c r="O90" s="102"/>
      <c r="P90" s="101"/>
      <c r="Q90" s="101"/>
      <c r="R90" s="102"/>
      <c r="S90" s="106"/>
      <c r="T90" s="106"/>
      <c r="U90" s="107"/>
      <c r="V90" s="117"/>
      <c r="W90" s="102"/>
      <c r="X90" s="102"/>
      <c r="Y90" s="101"/>
      <c r="Z90" s="101"/>
      <c r="AA90" s="102"/>
      <c r="AB90" s="106"/>
      <c r="AC90" s="106"/>
      <c r="AD90" s="107"/>
      <c r="AE90" s="117"/>
      <c r="AF90" s="102"/>
      <c r="AG90" s="102"/>
      <c r="AH90" s="101"/>
      <c r="AI90" s="101"/>
      <c r="AJ90" s="102"/>
      <c r="AK90" s="106"/>
      <c r="AL90" s="106"/>
    </row>
    <row r="91" spans="1:38" ht="69.75" customHeight="1" x14ac:dyDescent="0.25">
      <c r="A91" s="129"/>
      <c r="B91" s="130"/>
      <c r="C91" s="130"/>
      <c r="D91" s="130"/>
      <c r="E91" s="130"/>
      <c r="F91" s="130"/>
      <c r="G91" s="14" t="s">
        <v>198</v>
      </c>
      <c r="H91" s="15">
        <v>43586</v>
      </c>
      <c r="I91" s="15">
        <v>43829</v>
      </c>
      <c r="J91" s="36" t="s">
        <v>180</v>
      </c>
      <c r="K91" s="119"/>
      <c r="L91" s="102"/>
      <c r="M91" s="117"/>
      <c r="N91" s="102"/>
      <c r="O91" s="102"/>
      <c r="P91" s="101"/>
      <c r="Q91" s="101"/>
      <c r="R91" s="102"/>
      <c r="S91" s="106"/>
      <c r="T91" s="106"/>
      <c r="U91" s="107"/>
      <c r="V91" s="117"/>
      <c r="W91" s="102"/>
      <c r="X91" s="102"/>
      <c r="Y91" s="101"/>
      <c r="Z91" s="101"/>
      <c r="AA91" s="102"/>
      <c r="AB91" s="106"/>
      <c r="AC91" s="106"/>
      <c r="AD91" s="107"/>
      <c r="AE91" s="117"/>
      <c r="AF91" s="102"/>
      <c r="AG91" s="102"/>
      <c r="AH91" s="101"/>
      <c r="AI91" s="101"/>
      <c r="AJ91" s="102"/>
      <c r="AK91" s="106"/>
      <c r="AL91" s="106"/>
    </row>
    <row r="92" spans="1:38" ht="69.75" customHeight="1" x14ac:dyDescent="0.25">
      <c r="A92" s="129"/>
      <c r="B92" s="130"/>
      <c r="C92" s="130"/>
      <c r="D92" s="130"/>
      <c r="E92" s="130"/>
      <c r="F92" s="130"/>
      <c r="G92" s="14" t="s">
        <v>199</v>
      </c>
      <c r="H92" s="15">
        <v>43467</v>
      </c>
      <c r="I92" s="15">
        <v>43830</v>
      </c>
      <c r="J92" s="36" t="s">
        <v>180</v>
      </c>
      <c r="K92" s="119"/>
      <c r="L92" s="102"/>
      <c r="M92" s="117"/>
      <c r="N92" s="102"/>
      <c r="O92" s="102"/>
      <c r="P92" s="101"/>
      <c r="Q92" s="101"/>
      <c r="R92" s="102"/>
      <c r="S92" s="106"/>
      <c r="T92" s="106"/>
      <c r="U92" s="107"/>
      <c r="V92" s="117"/>
      <c r="W92" s="102"/>
      <c r="X92" s="102"/>
      <c r="Y92" s="101"/>
      <c r="Z92" s="101"/>
      <c r="AA92" s="102"/>
      <c r="AB92" s="106"/>
      <c r="AC92" s="106"/>
      <c r="AD92" s="107"/>
      <c r="AE92" s="117"/>
      <c r="AF92" s="102"/>
      <c r="AG92" s="102"/>
      <c r="AH92" s="101"/>
      <c r="AI92" s="101"/>
      <c r="AJ92" s="102"/>
      <c r="AK92" s="106"/>
      <c r="AL92" s="106"/>
    </row>
    <row r="93" spans="1:38" ht="59.25" customHeight="1" x14ac:dyDescent="0.25">
      <c r="A93" s="117" t="s">
        <v>39</v>
      </c>
      <c r="B93" s="102" t="s">
        <v>200</v>
      </c>
      <c r="C93" s="102">
        <v>17</v>
      </c>
      <c r="D93" s="102" t="s">
        <v>201</v>
      </c>
      <c r="E93" s="102">
        <v>0</v>
      </c>
      <c r="F93" s="102" t="s">
        <v>202</v>
      </c>
      <c r="G93" s="81" t="s">
        <v>203</v>
      </c>
      <c r="H93" s="12">
        <v>43539</v>
      </c>
      <c r="I93" s="12">
        <v>43567</v>
      </c>
      <c r="J93" s="51" t="s">
        <v>180</v>
      </c>
      <c r="K93" s="119" t="s">
        <v>181</v>
      </c>
      <c r="L93" s="102" t="s">
        <v>23</v>
      </c>
      <c r="M93" s="117" t="s">
        <v>204</v>
      </c>
      <c r="N93" s="102" t="s">
        <v>1250</v>
      </c>
      <c r="O93" s="102" t="s">
        <v>1250</v>
      </c>
      <c r="P93" s="101" t="str">
        <f>IFERROR((0/0),"No aplica")</f>
        <v>No aplica</v>
      </c>
      <c r="Q93" s="101">
        <f>IFERROR((0/2),"No aplica")</f>
        <v>0</v>
      </c>
      <c r="R93" s="102" t="s">
        <v>697</v>
      </c>
      <c r="S93" s="106" t="s">
        <v>1251</v>
      </c>
      <c r="T93" s="106" t="s">
        <v>75</v>
      </c>
      <c r="U93" s="107" t="s">
        <v>1247</v>
      </c>
      <c r="V93" s="117" t="s">
        <v>204</v>
      </c>
      <c r="W93" s="102" t="s">
        <v>1250</v>
      </c>
      <c r="X93" s="102" t="s">
        <v>1250</v>
      </c>
      <c r="Y93" s="101" t="str">
        <f>IFERROR((0/0),"No aplica")</f>
        <v>No aplica</v>
      </c>
      <c r="Z93" s="101">
        <f>IFERROR((0/2),"No aplica")</f>
        <v>0</v>
      </c>
      <c r="AA93" s="102" t="s">
        <v>697</v>
      </c>
      <c r="AB93" s="106" t="s">
        <v>1249</v>
      </c>
      <c r="AC93" s="106" t="s">
        <v>1248</v>
      </c>
      <c r="AD93" s="107" t="s">
        <v>1247</v>
      </c>
      <c r="AE93" s="117" t="s">
        <v>204</v>
      </c>
      <c r="AF93" s="102" t="s">
        <v>1246</v>
      </c>
      <c r="AG93" s="102" t="s">
        <v>1246</v>
      </c>
      <c r="AH93" s="101">
        <f>IFERROR((2/2),"No aplica")</f>
        <v>1</v>
      </c>
      <c r="AI93" s="101">
        <f>IFERROR((2/2),"No aplica")</f>
        <v>1</v>
      </c>
      <c r="AJ93" s="102" t="s">
        <v>692</v>
      </c>
      <c r="AK93" s="106" t="s">
        <v>1245</v>
      </c>
      <c r="AL93" s="106" t="s">
        <v>1244</v>
      </c>
    </row>
    <row r="94" spans="1:38" ht="59.25" customHeight="1" x14ac:dyDescent="0.25">
      <c r="A94" s="117"/>
      <c r="B94" s="102"/>
      <c r="C94" s="102"/>
      <c r="D94" s="102"/>
      <c r="E94" s="102"/>
      <c r="F94" s="102"/>
      <c r="G94" s="81" t="s">
        <v>205</v>
      </c>
      <c r="H94" s="12">
        <v>43539</v>
      </c>
      <c r="I94" s="12">
        <v>43567</v>
      </c>
      <c r="J94" s="51" t="s">
        <v>180</v>
      </c>
      <c r="K94" s="119"/>
      <c r="L94" s="102"/>
      <c r="M94" s="117"/>
      <c r="N94" s="102"/>
      <c r="O94" s="102"/>
      <c r="P94" s="101"/>
      <c r="Q94" s="101"/>
      <c r="R94" s="102"/>
      <c r="S94" s="106"/>
      <c r="T94" s="106"/>
      <c r="U94" s="107"/>
      <c r="V94" s="117"/>
      <c r="W94" s="102"/>
      <c r="X94" s="102"/>
      <c r="Y94" s="101"/>
      <c r="Z94" s="101"/>
      <c r="AA94" s="102"/>
      <c r="AB94" s="106"/>
      <c r="AC94" s="106"/>
      <c r="AD94" s="107"/>
      <c r="AE94" s="117"/>
      <c r="AF94" s="102"/>
      <c r="AG94" s="102"/>
      <c r="AH94" s="101"/>
      <c r="AI94" s="101"/>
      <c r="AJ94" s="102"/>
      <c r="AK94" s="106"/>
      <c r="AL94" s="106"/>
    </row>
    <row r="95" spans="1:38" ht="59.25" customHeight="1" x14ac:dyDescent="0.25">
      <c r="A95" s="117"/>
      <c r="B95" s="102"/>
      <c r="C95" s="102"/>
      <c r="D95" s="102"/>
      <c r="E95" s="102"/>
      <c r="F95" s="102"/>
      <c r="G95" s="81" t="s">
        <v>206</v>
      </c>
      <c r="H95" s="12">
        <v>43549</v>
      </c>
      <c r="I95" s="12">
        <v>43616</v>
      </c>
      <c r="J95" s="51" t="s">
        <v>180</v>
      </c>
      <c r="K95" s="119"/>
      <c r="L95" s="102"/>
      <c r="M95" s="117"/>
      <c r="N95" s="102"/>
      <c r="O95" s="102"/>
      <c r="P95" s="101"/>
      <c r="Q95" s="101"/>
      <c r="R95" s="102"/>
      <c r="S95" s="106"/>
      <c r="T95" s="106"/>
      <c r="U95" s="107"/>
      <c r="V95" s="117"/>
      <c r="W95" s="102"/>
      <c r="X95" s="102"/>
      <c r="Y95" s="101"/>
      <c r="Z95" s="101"/>
      <c r="AA95" s="102"/>
      <c r="AB95" s="106"/>
      <c r="AC95" s="106"/>
      <c r="AD95" s="107"/>
      <c r="AE95" s="117"/>
      <c r="AF95" s="102"/>
      <c r="AG95" s="102"/>
      <c r="AH95" s="101"/>
      <c r="AI95" s="101"/>
      <c r="AJ95" s="102"/>
      <c r="AK95" s="106"/>
      <c r="AL95" s="106"/>
    </row>
    <row r="96" spans="1:38" ht="114" customHeight="1" x14ac:dyDescent="0.25">
      <c r="A96" s="117" t="s">
        <v>39</v>
      </c>
      <c r="B96" s="102" t="s">
        <v>200</v>
      </c>
      <c r="C96" s="102">
        <v>18</v>
      </c>
      <c r="D96" s="102" t="s">
        <v>207</v>
      </c>
      <c r="E96" s="102">
        <v>0</v>
      </c>
      <c r="F96" s="102" t="s">
        <v>193</v>
      </c>
      <c r="G96" s="81" t="s">
        <v>208</v>
      </c>
      <c r="H96" s="12">
        <v>43467</v>
      </c>
      <c r="I96" s="12">
        <v>43830</v>
      </c>
      <c r="J96" s="51" t="s">
        <v>180</v>
      </c>
      <c r="K96" s="119" t="s">
        <v>181</v>
      </c>
      <c r="L96" s="102" t="s">
        <v>209</v>
      </c>
      <c r="M96" s="117" t="s">
        <v>210</v>
      </c>
      <c r="N96" s="102" t="s">
        <v>1243</v>
      </c>
      <c r="O96" s="102" t="s">
        <v>1243</v>
      </c>
      <c r="P96" s="101">
        <f>IFERROR((0.07%/0.07%),"No aplica")</f>
        <v>1</v>
      </c>
      <c r="Q96" s="101">
        <f>IFERROR((0.07%/100%),"No aplica")</f>
        <v>7.000000000000001E-4</v>
      </c>
      <c r="R96" s="102" t="s">
        <v>692</v>
      </c>
      <c r="S96" s="106" t="s">
        <v>1242</v>
      </c>
      <c r="T96" s="106" t="s">
        <v>1241</v>
      </c>
      <c r="U96" s="107" t="s">
        <v>1240</v>
      </c>
      <c r="V96" s="117" t="s">
        <v>210</v>
      </c>
      <c r="W96" s="102" t="s">
        <v>1239</v>
      </c>
      <c r="X96" s="102" t="s">
        <v>1238</v>
      </c>
      <c r="Y96" s="108">
        <f>IFERROR((2.07%/17.46%),"No aplica")</f>
        <v>0.11855670103092783</v>
      </c>
      <c r="Z96" s="108">
        <f>IFERROR((2.07%/100%),"No aplica")</f>
        <v>2.07E-2</v>
      </c>
      <c r="AA96" s="102" t="s">
        <v>703</v>
      </c>
      <c r="AB96" s="106" t="s">
        <v>1237</v>
      </c>
      <c r="AC96" s="106" t="s">
        <v>1236</v>
      </c>
      <c r="AD96" s="107" t="s">
        <v>1235</v>
      </c>
      <c r="AE96" s="117" t="s">
        <v>210</v>
      </c>
      <c r="AF96" s="102" t="s">
        <v>1234</v>
      </c>
      <c r="AG96" s="102" t="s">
        <v>1233</v>
      </c>
      <c r="AH96" s="108">
        <f>IFERROR((6.71%/61.1%),"No aplica")</f>
        <v>0.10981996726677577</v>
      </c>
      <c r="AI96" s="108">
        <f>IFERROR((6.71%/100%),"No aplica")</f>
        <v>6.7099999999999993E-2</v>
      </c>
      <c r="AJ96" s="102" t="s">
        <v>703</v>
      </c>
      <c r="AK96" s="106" t="s">
        <v>1232</v>
      </c>
      <c r="AL96" s="106" t="s">
        <v>1231</v>
      </c>
    </row>
    <row r="97" spans="1:38" ht="114" customHeight="1" x14ac:dyDescent="0.25">
      <c r="A97" s="117"/>
      <c r="B97" s="102"/>
      <c r="C97" s="102"/>
      <c r="D97" s="102"/>
      <c r="E97" s="102"/>
      <c r="F97" s="102"/>
      <c r="G97" s="81" t="s">
        <v>211</v>
      </c>
      <c r="H97" s="12">
        <v>43496</v>
      </c>
      <c r="I97" s="12">
        <v>43830</v>
      </c>
      <c r="J97" s="51" t="s">
        <v>180</v>
      </c>
      <c r="K97" s="119"/>
      <c r="L97" s="102"/>
      <c r="M97" s="117"/>
      <c r="N97" s="102"/>
      <c r="O97" s="102"/>
      <c r="P97" s="101"/>
      <c r="Q97" s="101"/>
      <c r="R97" s="102"/>
      <c r="S97" s="106"/>
      <c r="T97" s="106"/>
      <c r="U97" s="107"/>
      <c r="V97" s="117"/>
      <c r="W97" s="102"/>
      <c r="X97" s="102"/>
      <c r="Y97" s="108"/>
      <c r="Z97" s="108"/>
      <c r="AA97" s="102"/>
      <c r="AB97" s="106"/>
      <c r="AC97" s="106"/>
      <c r="AD97" s="107"/>
      <c r="AE97" s="117"/>
      <c r="AF97" s="102"/>
      <c r="AG97" s="102"/>
      <c r="AH97" s="108"/>
      <c r="AI97" s="108"/>
      <c r="AJ97" s="102"/>
      <c r="AK97" s="106"/>
      <c r="AL97" s="106"/>
    </row>
    <row r="98" spans="1:38" ht="25.5" customHeight="1" x14ac:dyDescent="0.25">
      <c r="A98" s="117" t="s">
        <v>39</v>
      </c>
      <c r="B98" s="102" t="s">
        <v>212</v>
      </c>
      <c r="C98" s="102">
        <v>19</v>
      </c>
      <c r="D98" s="102" t="s">
        <v>213</v>
      </c>
      <c r="E98" s="102">
        <v>0</v>
      </c>
      <c r="F98" s="102" t="s">
        <v>214</v>
      </c>
      <c r="G98" s="81" t="s">
        <v>215</v>
      </c>
      <c r="H98" s="12">
        <v>43578</v>
      </c>
      <c r="I98" s="12">
        <v>43708</v>
      </c>
      <c r="J98" s="51" t="s">
        <v>180</v>
      </c>
      <c r="K98" s="119" t="s">
        <v>181</v>
      </c>
      <c r="L98" s="102" t="s">
        <v>216</v>
      </c>
      <c r="M98" s="117" t="s">
        <v>217</v>
      </c>
      <c r="N98" s="102" t="s">
        <v>1230</v>
      </c>
      <c r="O98" s="102" t="s">
        <v>1230</v>
      </c>
      <c r="P98" s="101">
        <f>IFERROR((7%/7%),"No aplica")</f>
        <v>1</v>
      </c>
      <c r="Q98" s="101">
        <f>IFERROR((7%/100%),"No aplica")</f>
        <v>7.0000000000000007E-2</v>
      </c>
      <c r="R98" s="102" t="s">
        <v>692</v>
      </c>
      <c r="S98" s="106" t="s">
        <v>1229</v>
      </c>
      <c r="T98" s="106" t="s">
        <v>1228</v>
      </c>
      <c r="U98" s="107" t="s">
        <v>1227</v>
      </c>
      <c r="V98" s="117" t="s">
        <v>217</v>
      </c>
      <c r="W98" s="102" t="s">
        <v>1226</v>
      </c>
      <c r="X98" s="102" t="s">
        <v>1226</v>
      </c>
      <c r="Y98" s="101">
        <f>IFERROR((22%/22%),"No aplica")</f>
        <v>1</v>
      </c>
      <c r="Z98" s="101">
        <f>IFERROR(((7%+22%)/100%),"No aplica")</f>
        <v>0.29000000000000004</v>
      </c>
      <c r="AA98" s="102" t="s">
        <v>692</v>
      </c>
      <c r="AB98" s="106" t="s">
        <v>1225</v>
      </c>
      <c r="AC98" s="106" t="s">
        <v>1224</v>
      </c>
      <c r="AD98" s="107" t="s">
        <v>1223</v>
      </c>
      <c r="AE98" s="117" t="s">
        <v>217</v>
      </c>
      <c r="AF98" s="102" t="s">
        <v>1222</v>
      </c>
      <c r="AG98" s="102" t="s">
        <v>1221</v>
      </c>
      <c r="AH98" s="101">
        <f>IFERROR((37%/39%),"No aplica")</f>
        <v>0.94871794871794868</v>
      </c>
      <c r="AI98" s="101">
        <f>IFERROR(((7%+22%+37%)/100%),"No aplica")</f>
        <v>0.66</v>
      </c>
      <c r="AJ98" s="102" t="s">
        <v>1220</v>
      </c>
      <c r="AK98" s="106" t="s">
        <v>1219</v>
      </c>
      <c r="AL98" s="106" t="s">
        <v>1218</v>
      </c>
    </row>
    <row r="99" spans="1:38" ht="25.5" customHeight="1" x14ac:dyDescent="0.25">
      <c r="A99" s="117"/>
      <c r="B99" s="102"/>
      <c r="C99" s="102"/>
      <c r="D99" s="102"/>
      <c r="E99" s="102"/>
      <c r="F99" s="102"/>
      <c r="G99" s="81" t="s">
        <v>218</v>
      </c>
      <c r="H99" s="12">
        <v>43708</v>
      </c>
      <c r="I99" s="12">
        <v>43830</v>
      </c>
      <c r="J99" s="51" t="s">
        <v>180</v>
      </c>
      <c r="K99" s="119"/>
      <c r="L99" s="102"/>
      <c r="M99" s="117"/>
      <c r="N99" s="102"/>
      <c r="O99" s="102"/>
      <c r="P99" s="101"/>
      <c r="Q99" s="101"/>
      <c r="R99" s="102"/>
      <c r="S99" s="106"/>
      <c r="T99" s="106"/>
      <c r="U99" s="107"/>
      <c r="V99" s="117"/>
      <c r="W99" s="102"/>
      <c r="X99" s="102"/>
      <c r="Y99" s="101"/>
      <c r="Z99" s="101"/>
      <c r="AA99" s="102"/>
      <c r="AB99" s="106"/>
      <c r="AC99" s="106"/>
      <c r="AD99" s="107"/>
      <c r="AE99" s="117"/>
      <c r="AF99" s="102"/>
      <c r="AG99" s="102"/>
      <c r="AH99" s="101"/>
      <c r="AI99" s="101"/>
      <c r="AJ99" s="102"/>
      <c r="AK99" s="106"/>
      <c r="AL99" s="106"/>
    </row>
    <row r="100" spans="1:38" ht="34.5" customHeight="1" x14ac:dyDescent="0.25">
      <c r="A100" s="117"/>
      <c r="B100" s="102"/>
      <c r="C100" s="102"/>
      <c r="D100" s="102"/>
      <c r="E100" s="102"/>
      <c r="F100" s="102" t="s">
        <v>219</v>
      </c>
      <c r="G100" s="81" t="s">
        <v>220</v>
      </c>
      <c r="H100" s="12">
        <v>43539</v>
      </c>
      <c r="I100" s="12">
        <v>43708</v>
      </c>
      <c r="J100" s="51" t="s">
        <v>180</v>
      </c>
      <c r="K100" s="119"/>
      <c r="L100" s="102"/>
      <c r="M100" s="117"/>
      <c r="N100" s="102"/>
      <c r="O100" s="102"/>
      <c r="P100" s="101"/>
      <c r="Q100" s="101"/>
      <c r="R100" s="102"/>
      <c r="S100" s="106"/>
      <c r="T100" s="106"/>
      <c r="U100" s="107"/>
      <c r="V100" s="117"/>
      <c r="W100" s="102"/>
      <c r="X100" s="102"/>
      <c r="Y100" s="101"/>
      <c r="Z100" s="101"/>
      <c r="AA100" s="102"/>
      <c r="AB100" s="106"/>
      <c r="AC100" s="106"/>
      <c r="AD100" s="107"/>
      <c r="AE100" s="117"/>
      <c r="AF100" s="102"/>
      <c r="AG100" s="102"/>
      <c r="AH100" s="101"/>
      <c r="AI100" s="101"/>
      <c r="AJ100" s="102"/>
      <c r="AK100" s="106"/>
      <c r="AL100" s="106"/>
    </row>
    <row r="101" spans="1:38" ht="47.25" x14ac:dyDescent="0.25">
      <c r="A101" s="117"/>
      <c r="B101" s="102"/>
      <c r="C101" s="102"/>
      <c r="D101" s="102"/>
      <c r="E101" s="102"/>
      <c r="F101" s="102"/>
      <c r="G101" s="81" t="s">
        <v>221</v>
      </c>
      <c r="H101" s="12">
        <v>43539</v>
      </c>
      <c r="I101" s="12">
        <v>43708</v>
      </c>
      <c r="J101" s="51" t="s">
        <v>180</v>
      </c>
      <c r="K101" s="119"/>
      <c r="L101" s="102"/>
      <c r="M101" s="117"/>
      <c r="N101" s="102"/>
      <c r="O101" s="102"/>
      <c r="P101" s="101"/>
      <c r="Q101" s="101"/>
      <c r="R101" s="102"/>
      <c r="S101" s="106"/>
      <c r="T101" s="106"/>
      <c r="U101" s="107"/>
      <c r="V101" s="117"/>
      <c r="W101" s="102"/>
      <c r="X101" s="102"/>
      <c r="Y101" s="101"/>
      <c r="Z101" s="101"/>
      <c r="AA101" s="102"/>
      <c r="AB101" s="106"/>
      <c r="AC101" s="106"/>
      <c r="AD101" s="107"/>
      <c r="AE101" s="117"/>
      <c r="AF101" s="102"/>
      <c r="AG101" s="102"/>
      <c r="AH101" s="101"/>
      <c r="AI101" s="101"/>
      <c r="AJ101" s="102"/>
      <c r="AK101" s="106"/>
      <c r="AL101" s="106"/>
    </row>
    <row r="102" spans="1:38" ht="34.5" customHeight="1" x14ac:dyDescent="0.25">
      <c r="A102" s="117"/>
      <c r="B102" s="102"/>
      <c r="C102" s="102"/>
      <c r="D102" s="102"/>
      <c r="E102" s="102"/>
      <c r="F102" s="102"/>
      <c r="G102" s="81" t="s">
        <v>222</v>
      </c>
      <c r="H102" s="12">
        <v>43708</v>
      </c>
      <c r="I102" s="12">
        <v>43799</v>
      </c>
      <c r="J102" s="51" t="s">
        <v>180</v>
      </c>
      <c r="K102" s="119"/>
      <c r="L102" s="102"/>
      <c r="M102" s="117"/>
      <c r="N102" s="102"/>
      <c r="O102" s="102"/>
      <c r="P102" s="101"/>
      <c r="Q102" s="101"/>
      <c r="R102" s="102"/>
      <c r="S102" s="106"/>
      <c r="T102" s="106"/>
      <c r="U102" s="107"/>
      <c r="V102" s="117"/>
      <c r="W102" s="102"/>
      <c r="X102" s="102"/>
      <c r="Y102" s="101"/>
      <c r="Z102" s="101"/>
      <c r="AA102" s="102"/>
      <c r="AB102" s="106"/>
      <c r="AC102" s="106"/>
      <c r="AD102" s="107"/>
      <c r="AE102" s="117"/>
      <c r="AF102" s="102"/>
      <c r="AG102" s="102"/>
      <c r="AH102" s="101"/>
      <c r="AI102" s="101"/>
      <c r="AJ102" s="102"/>
      <c r="AK102" s="106"/>
      <c r="AL102" s="106"/>
    </row>
    <row r="103" spans="1:38" ht="34.5" customHeight="1" x14ac:dyDescent="0.25">
      <c r="A103" s="117"/>
      <c r="B103" s="102"/>
      <c r="C103" s="102"/>
      <c r="D103" s="102"/>
      <c r="E103" s="102"/>
      <c r="F103" s="102"/>
      <c r="G103" s="81" t="s">
        <v>223</v>
      </c>
      <c r="H103" s="12">
        <v>43617</v>
      </c>
      <c r="I103" s="12">
        <v>43830</v>
      </c>
      <c r="J103" s="51" t="s">
        <v>180</v>
      </c>
      <c r="K103" s="119"/>
      <c r="L103" s="102"/>
      <c r="M103" s="117"/>
      <c r="N103" s="102"/>
      <c r="O103" s="102"/>
      <c r="P103" s="101"/>
      <c r="Q103" s="101"/>
      <c r="R103" s="102"/>
      <c r="S103" s="106"/>
      <c r="T103" s="106"/>
      <c r="U103" s="107"/>
      <c r="V103" s="117"/>
      <c r="W103" s="102"/>
      <c r="X103" s="102"/>
      <c r="Y103" s="101"/>
      <c r="Z103" s="101"/>
      <c r="AA103" s="102"/>
      <c r="AB103" s="106"/>
      <c r="AC103" s="106"/>
      <c r="AD103" s="107"/>
      <c r="AE103" s="117"/>
      <c r="AF103" s="102"/>
      <c r="AG103" s="102"/>
      <c r="AH103" s="101"/>
      <c r="AI103" s="101"/>
      <c r="AJ103" s="102"/>
      <c r="AK103" s="106"/>
      <c r="AL103" s="106"/>
    </row>
    <row r="104" spans="1:38" ht="15.75" customHeight="1" x14ac:dyDescent="0.25">
      <c r="A104" s="38" t="s">
        <v>51</v>
      </c>
      <c r="B104" s="39" t="s">
        <v>51</v>
      </c>
      <c r="C104" s="39"/>
      <c r="D104" s="39" t="s">
        <v>51</v>
      </c>
      <c r="E104" s="39" t="s">
        <v>51</v>
      </c>
      <c r="F104" s="39" t="s">
        <v>51</v>
      </c>
      <c r="G104" s="44" t="s">
        <v>51</v>
      </c>
      <c r="H104" s="39" t="s">
        <v>51</v>
      </c>
      <c r="I104" s="39" t="s">
        <v>51</v>
      </c>
      <c r="J104" s="43" t="s">
        <v>51</v>
      </c>
      <c r="K104" s="42" t="s">
        <v>51</v>
      </c>
      <c r="L104" s="39" t="s">
        <v>51</v>
      </c>
      <c r="M104" s="38" t="s">
        <v>51</v>
      </c>
      <c r="N104" s="39"/>
      <c r="O104" s="39"/>
      <c r="P104" s="41"/>
      <c r="Q104" s="41"/>
      <c r="R104" s="39"/>
      <c r="S104" s="37"/>
      <c r="T104" s="37"/>
      <c r="U104" s="40"/>
      <c r="V104" s="38" t="s">
        <v>51</v>
      </c>
      <c r="W104" s="39"/>
      <c r="X104" s="39"/>
      <c r="Y104" s="39"/>
      <c r="Z104" s="39"/>
      <c r="AA104" s="38" t="s">
        <v>51</v>
      </c>
      <c r="AB104" s="37"/>
      <c r="AC104" s="37"/>
      <c r="AD104" s="40"/>
      <c r="AE104" s="38" t="s">
        <v>51</v>
      </c>
      <c r="AF104" s="39"/>
      <c r="AG104" s="39"/>
      <c r="AH104" s="39"/>
      <c r="AI104" s="48"/>
      <c r="AJ104" s="39" t="s">
        <v>51</v>
      </c>
      <c r="AK104" s="37"/>
      <c r="AL104" s="37"/>
    </row>
    <row r="105" spans="1:38" ht="31.5" customHeight="1" x14ac:dyDescent="0.25">
      <c r="A105" s="117" t="s">
        <v>39</v>
      </c>
      <c r="B105" s="102" t="s">
        <v>224</v>
      </c>
      <c r="C105" s="102">
        <v>20</v>
      </c>
      <c r="D105" s="102" t="s">
        <v>225</v>
      </c>
      <c r="E105" s="102">
        <v>0</v>
      </c>
      <c r="F105" s="102" t="s">
        <v>193</v>
      </c>
      <c r="G105" s="81" t="s">
        <v>226</v>
      </c>
      <c r="H105" s="12">
        <v>43586</v>
      </c>
      <c r="I105" s="12">
        <v>43830</v>
      </c>
      <c r="J105" s="51" t="s">
        <v>227</v>
      </c>
      <c r="K105" s="119" t="s">
        <v>1208</v>
      </c>
      <c r="L105" s="102" t="s">
        <v>228</v>
      </c>
      <c r="M105" s="117" t="s">
        <v>229</v>
      </c>
      <c r="N105" s="102" t="s">
        <v>1211</v>
      </c>
      <c r="O105" s="102" t="s">
        <v>1211</v>
      </c>
      <c r="P105" s="101">
        <f>IFERROR((1/1),"No aplica")</f>
        <v>1</v>
      </c>
      <c r="Q105" s="101">
        <f>IFERROR((1/4),"No aplica")</f>
        <v>0.25</v>
      </c>
      <c r="R105" s="102" t="s">
        <v>692</v>
      </c>
      <c r="S105" s="106" t="s">
        <v>1217</v>
      </c>
      <c r="T105" s="106" t="s">
        <v>1216</v>
      </c>
      <c r="U105" s="107" t="s">
        <v>1215</v>
      </c>
      <c r="V105" s="117" t="s">
        <v>229</v>
      </c>
      <c r="W105" s="102" t="s">
        <v>1211</v>
      </c>
      <c r="X105" s="113" t="s">
        <v>1211</v>
      </c>
      <c r="Y105" s="101">
        <f>IFERROR((1/1),"No aplica")</f>
        <v>1</v>
      </c>
      <c r="Z105" s="101">
        <f>IFERROR((2/4),"No aplica")</f>
        <v>0.5</v>
      </c>
      <c r="AA105" s="102" t="s">
        <v>692</v>
      </c>
      <c r="AB105" s="106" t="s">
        <v>1214</v>
      </c>
      <c r="AC105" s="106" t="s">
        <v>1213</v>
      </c>
      <c r="AD105" s="107" t="s">
        <v>1212</v>
      </c>
      <c r="AE105" s="117" t="s">
        <v>229</v>
      </c>
      <c r="AF105" s="102" t="s">
        <v>1211</v>
      </c>
      <c r="AG105" s="113" t="s">
        <v>1211</v>
      </c>
      <c r="AH105" s="101">
        <f>IFERROR((1/1),"No aplica")</f>
        <v>1</v>
      </c>
      <c r="AI105" s="101">
        <f>IFERROR((3/4),"No aplica")</f>
        <v>0.75</v>
      </c>
      <c r="AJ105" s="102" t="s">
        <v>692</v>
      </c>
      <c r="AK105" s="106" t="s">
        <v>1210</v>
      </c>
      <c r="AL105" s="106" t="s">
        <v>1209</v>
      </c>
    </row>
    <row r="106" spans="1:38" x14ac:dyDescent="0.25">
      <c r="A106" s="117"/>
      <c r="B106" s="102"/>
      <c r="C106" s="102"/>
      <c r="D106" s="102"/>
      <c r="E106" s="102"/>
      <c r="F106" s="102"/>
      <c r="G106" s="81" t="s">
        <v>230</v>
      </c>
      <c r="H106" s="12">
        <v>43525</v>
      </c>
      <c r="I106" s="12">
        <v>43830</v>
      </c>
      <c r="J106" s="51" t="s">
        <v>227</v>
      </c>
      <c r="K106" s="119"/>
      <c r="L106" s="102"/>
      <c r="M106" s="117"/>
      <c r="N106" s="102"/>
      <c r="O106" s="102"/>
      <c r="P106" s="101"/>
      <c r="Q106" s="101"/>
      <c r="R106" s="102"/>
      <c r="S106" s="106"/>
      <c r="T106" s="106"/>
      <c r="U106" s="107"/>
      <c r="V106" s="117"/>
      <c r="W106" s="102"/>
      <c r="X106" s="123"/>
      <c r="Y106" s="101"/>
      <c r="Z106" s="101"/>
      <c r="AA106" s="102"/>
      <c r="AB106" s="106"/>
      <c r="AC106" s="106"/>
      <c r="AD106" s="107"/>
      <c r="AE106" s="117"/>
      <c r="AF106" s="102"/>
      <c r="AG106" s="123"/>
      <c r="AH106" s="101"/>
      <c r="AI106" s="101"/>
      <c r="AJ106" s="102"/>
      <c r="AK106" s="106"/>
      <c r="AL106" s="106"/>
    </row>
    <row r="107" spans="1:38" ht="31.5" x14ac:dyDescent="0.25">
      <c r="A107" s="117"/>
      <c r="B107" s="102"/>
      <c r="C107" s="102"/>
      <c r="D107" s="102"/>
      <c r="E107" s="102"/>
      <c r="F107" s="102"/>
      <c r="G107" s="81" t="s">
        <v>231</v>
      </c>
      <c r="H107" s="12">
        <v>43497</v>
      </c>
      <c r="I107" s="12">
        <v>43830</v>
      </c>
      <c r="J107" s="51" t="s">
        <v>227</v>
      </c>
      <c r="K107" s="119"/>
      <c r="L107" s="102"/>
      <c r="M107" s="117"/>
      <c r="N107" s="102"/>
      <c r="O107" s="102"/>
      <c r="P107" s="101"/>
      <c r="Q107" s="101"/>
      <c r="R107" s="102"/>
      <c r="S107" s="106"/>
      <c r="T107" s="106"/>
      <c r="U107" s="107"/>
      <c r="V107" s="117"/>
      <c r="W107" s="102"/>
      <c r="X107" s="123"/>
      <c r="Y107" s="101"/>
      <c r="Z107" s="101"/>
      <c r="AA107" s="102"/>
      <c r="AB107" s="106"/>
      <c r="AC107" s="106"/>
      <c r="AD107" s="107"/>
      <c r="AE107" s="117"/>
      <c r="AF107" s="102"/>
      <c r="AG107" s="123"/>
      <c r="AH107" s="101"/>
      <c r="AI107" s="101"/>
      <c r="AJ107" s="102"/>
      <c r="AK107" s="106"/>
      <c r="AL107" s="106"/>
    </row>
    <row r="108" spans="1:38" x14ac:dyDescent="0.25">
      <c r="A108" s="117"/>
      <c r="B108" s="102"/>
      <c r="C108" s="102"/>
      <c r="D108" s="102"/>
      <c r="E108" s="102"/>
      <c r="F108" s="102"/>
      <c r="G108" s="81" t="s">
        <v>232</v>
      </c>
      <c r="H108" s="12">
        <v>43647</v>
      </c>
      <c r="I108" s="12">
        <v>43830</v>
      </c>
      <c r="J108" s="51" t="s">
        <v>227</v>
      </c>
      <c r="K108" s="119"/>
      <c r="L108" s="102"/>
      <c r="M108" s="117"/>
      <c r="N108" s="102"/>
      <c r="O108" s="102"/>
      <c r="P108" s="101"/>
      <c r="Q108" s="101"/>
      <c r="R108" s="102"/>
      <c r="S108" s="106"/>
      <c r="T108" s="106"/>
      <c r="U108" s="107"/>
      <c r="V108" s="117"/>
      <c r="W108" s="102"/>
      <c r="X108" s="124"/>
      <c r="Y108" s="101"/>
      <c r="Z108" s="101"/>
      <c r="AA108" s="102"/>
      <c r="AB108" s="106"/>
      <c r="AC108" s="106"/>
      <c r="AD108" s="107"/>
      <c r="AE108" s="117"/>
      <c r="AF108" s="102"/>
      <c r="AG108" s="124"/>
      <c r="AH108" s="101"/>
      <c r="AI108" s="101"/>
      <c r="AJ108" s="102"/>
      <c r="AK108" s="106"/>
      <c r="AL108" s="106"/>
    </row>
    <row r="109" spans="1:38" ht="36" customHeight="1" x14ac:dyDescent="0.25">
      <c r="A109" s="117" t="s">
        <v>39</v>
      </c>
      <c r="B109" s="102" t="s">
        <v>233</v>
      </c>
      <c r="C109" s="102">
        <v>21</v>
      </c>
      <c r="D109" s="102" t="s">
        <v>234</v>
      </c>
      <c r="E109" s="102">
        <v>0</v>
      </c>
      <c r="F109" s="102" t="s">
        <v>235</v>
      </c>
      <c r="G109" s="81" t="s">
        <v>236</v>
      </c>
      <c r="H109" s="12">
        <v>43647</v>
      </c>
      <c r="I109" s="12">
        <v>43830</v>
      </c>
      <c r="J109" s="51" t="s">
        <v>227</v>
      </c>
      <c r="K109" s="119" t="s">
        <v>1208</v>
      </c>
      <c r="L109" s="102" t="s">
        <v>228</v>
      </c>
      <c r="M109" s="117" t="s">
        <v>237</v>
      </c>
      <c r="N109" s="102" t="s">
        <v>1199</v>
      </c>
      <c r="O109" s="113" t="s">
        <v>1199</v>
      </c>
      <c r="P109" s="101">
        <f>IFERROR((1/1),"No aplica")</f>
        <v>1</v>
      </c>
      <c r="Q109" s="101">
        <f>IFERROR((1/5),"No aplica")</f>
        <v>0.2</v>
      </c>
      <c r="R109" s="102" t="s">
        <v>692</v>
      </c>
      <c r="S109" s="106" t="s">
        <v>1207</v>
      </c>
      <c r="T109" s="106" t="s">
        <v>1206</v>
      </c>
      <c r="U109" s="107" t="s">
        <v>1205</v>
      </c>
      <c r="V109" s="117" t="s">
        <v>1201</v>
      </c>
      <c r="W109" s="113" t="s">
        <v>1204</v>
      </c>
      <c r="X109" s="113" t="s">
        <v>1204</v>
      </c>
      <c r="Y109" s="101" t="str">
        <f>IFERROR((0/0),"No aplica")</f>
        <v>No aplica</v>
      </c>
      <c r="Z109" s="101">
        <f>IFERROR((1/5),"No aplica")</f>
        <v>0.2</v>
      </c>
      <c r="AA109" s="102" t="s">
        <v>692</v>
      </c>
      <c r="AB109" s="106" t="s">
        <v>1203</v>
      </c>
      <c r="AC109" s="106"/>
      <c r="AD109" s="107" t="s">
        <v>1202</v>
      </c>
      <c r="AE109" s="117" t="s">
        <v>1201</v>
      </c>
      <c r="AF109" s="113" t="s">
        <v>1200</v>
      </c>
      <c r="AG109" s="113" t="s">
        <v>1199</v>
      </c>
      <c r="AH109" s="101">
        <f>IFERROR((1/2),"No aplica")</f>
        <v>0.5</v>
      </c>
      <c r="AI109" s="101">
        <f>IFERROR((2/5),"No aplica")</f>
        <v>0.4</v>
      </c>
      <c r="AJ109" s="102" t="s">
        <v>713</v>
      </c>
      <c r="AK109" s="106" t="s">
        <v>1198</v>
      </c>
      <c r="AL109" s="137" t="s">
        <v>1197</v>
      </c>
    </row>
    <row r="110" spans="1:38" ht="36" customHeight="1" x14ac:dyDescent="0.25">
      <c r="A110" s="117"/>
      <c r="B110" s="102"/>
      <c r="C110" s="102"/>
      <c r="D110" s="102"/>
      <c r="E110" s="102"/>
      <c r="F110" s="102"/>
      <c r="G110" s="81" t="s">
        <v>238</v>
      </c>
      <c r="H110" s="12">
        <v>43466</v>
      </c>
      <c r="I110" s="12">
        <v>43830</v>
      </c>
      <c r="J110" s="51" t="s">
        <v>227</v>
      </c>
      <c r="K110" s="119"/>
      <c r="L110" s="102"/>
      <c r="M110" s="117"/>
      <c r="N110" s="102"/>
      <c r="O110" s="123"/>
      <c r="P110" s="101"/>
      <c r="Q110" s="101"/>
      <c r="R110" s="102"/>
      <c r="S110" s="106"/>
      <c r="T110" s="106"/>
      <c r="U110" s="107"/>
      <c r="V110" s="117"/>
      <c r="W110" s="123"/>
      <c r="X110" s="123"/>
      <c r="Y110" s="101"/>
      <c r="Z110" s="101"/>
      <c r="AA110" s="102"/>
      <c r="AB110" s="106"/>
      <c r="AC110" s="106"/>
      <c r="AD110" s="107"/>
      <c r="AE110" s="117"/>
      <c r="AF110" s="123"/>
      <c r="AG110" s="123"/>
      <c r="AH110" s="101"/>
      <c r="AI110" s="101"/>
      <c r="AJ110" s="102"/>
      <c r="AK110" s="106"/>
      <c r="AL110" s="138"/>
    </row>
    <row r="111" spans="1:38" ht="36" customHeight="1" x14ac:dyDescent="0.25">
      <c r="A111" s="117"/>
      <c r="B111" s="102"/>
      <c r="C111" s="102"/>
      <c r="D111" s="102"/>
      <c r="E111" s="102"/>
      <c r="F111" s="102"/>
      <c r="G111" s="81" t="s">
        <v>239</v>
      </c>
      <c r="H111" s="12">
        <v>43466</v>
      </c>
      <c r="I111" s="12">
        <v>43830</v>
      </c>
      <c r="J111" s="51" t="s">
        <v>227</v>
      </c>
      <c r="K111" s="119"/>
      <c r="L111" s="102"/>
      <c r="M111" s="117"/>
      <c r="N111" s="102"/>
      <c r="O111" s="123"/>
      <c r="P111" s="101"/>
      <c r="Q111" s="101"/>
      <c r="R111" s="102"/>
      <c r="S111" s="106"/>
      <c r="T111" s="106"/>
      <c r="U111" s="107"/>
      <c r="V111" s="117"/>
      <c r="W111" s="123"/>
      <c r="X111" s="123"/>
      <c r="Y111" s="101"/>
      <c r="Z111" s="101"/>
      <c r="AA111" s="102"/>
      <c r="AB111" s="106"/>
      <c r="AC111" s="106"/>
      <c r="AD111" s="107"/>
      <c r="AE111" s="117"/>
      <c r="AF111" s="123"/>
      <c r="AG111" s="123"/>
      <c r="AH111" s="101"/>
      <c r="AI111" s="101"/>
      <c r="AJ111" s="102"/>
      <c r="AK111" s="106"/>
      <c r="AL111" s="138"/>
    </row>
    <row r="112" spans="1:38" ht="36" customHeight="1" x14ac:dyDescent="0.25">
      <c r="A112" s="117"/>
      <c r="B112" s="102"/>
      <c r="C112" s="102"/>
      <c r="D112" s="102"/>
      <c r="E112" s="102"/>
      <c r="F112" s="102"/>
      <c r="G112" s="81" t="s">
        <v>240</v>
      </c>
      <c r="H112" s="12">
        <v>43466</v>
      </c>
      <c r="I112" s="12">
        <v>43830</v>
      </c>
      <c r="J112" s="51" t="s">
        <v>227</v>
      </c>
      <c r="K112" s="119"/>
      <c r="L112" s="102"/>
      <c r="M112" s="117"/>
      <c r="N112" s="102"/>
      <c r="O112" s="124"/>
      <c r="P112" s="101"/>
      <c r="Q112" s="101"/>
      <c r="R112" s="102"/>
      <c r="S112" s="106"/>
      <c r="T112" s="106"/>
      <c r="U112" s="107"/>
      <c r="V112" s="117"/>
      <c r="W112" s="124"/>
      <c r="X112" s="124"/>
      <c r="Y112" s="101"/>
      <c r="Z112" s="101"/>
      <c r="AA112" s="102"/>
      <c r="AB112" s="106"/>
      <c r="AC112" s="106"/>
      <c r="AD112" s="107"/>
      <c r="AE112" s="117"/>
      <c r="AF112" s="124"/>
      <c r="AG112" s="124"/>
      <c r="AH112" s="101"/>
      <c r="AI112" s="101"/>
      <c r="AJ112" s="102"/>
      <c r="AK112" s="106"/>
      <c r="AL112" s="139"/>
    </row>
    <row r="113" spans="1:38" x14ac:dyDescent="0.25">
      <c r="A113" s="38" t="s">
        <v>51</v>
      </c>
      <c r="B113" s="39" t="s">
        <v>51</v>
      </c>
      <c r="C113" s="39"/>
      <c r="D113" s="39" t="s">
        <v>51</v>
      </c>
      <c r="E113" s="39" t="s">
        <v>51</v>
      </c>
      <c r="F113" s="39" t="s">
        <v>51</v>
      </c>
      <c r="G113" s="44" t="s">
        <v>51</v>
      </c>
      <c r="H113" s="39" t="s">
        <v>51</v>
      </c>
      <c r="I113" s="39" t="s">
        <v>51</v>
      </c>
      <c r="J113" s="43" t="s">
        <v>51</v>
      </c>
      <c r="K113" s="42" t="s">
        <v>51</v>
      </c>
      <c r="L113" s="39" t="s">
        <v>51</v>
      </c>
      <c r="M113" s="38" t="s">
        <v>51</v>
      </c>
      <c r="N113" s="39"/>
      <c r="O113" s="39"/>
      <c r="P113" s="41"/>
      <c r="Q113" s="41"/>
      <c r="R113" s="39"/>
      <c r="S113" s="37"/>
      <c r="T113" s="37"/>
      <c r="U113" s="40"/>
      <c r="V113" s="38" t="s">
        <v>51</v>
      </c>
      <c r="W113" s="39"/>
      <c r="X113" s="39"/>
      <c r="Y113" s="39"/>
      <c r="Z113" s="39"/>
      <c r="AA113" s="38" t="s">
        <v>51</v>
      </c>
      <c r="AB113" s="37"/>
      <c r="AC113" s="37"/>
      <c r="AD113" s="40"/>
      <c r="AE113" s="38" t="s">
        <v>51</v>
      </c>
      <c r="AF113" s="39" t="s">
        <v>51</v>
      </c>
      <c r="AG113" s="39" t="s">
        <v>51</v>
      </c>
      <c r="AH113" s="39" t="s">
        <v>51</v>
      </c>
      <c r="AI113" s="39" t="s">
        <v>51</v>
      </c>
      <c r="AJ113" s="39" t="s">
        <v>51</v>
      </c>
      <c r="AK113" s="39" t="s">
        <v>51</v>
      </c>
      <c r="AL113" s="39" t="s">
        <v>51</v>
      </c>
    </row>
    <row r="114" spans="1:38" ht="49.5" customHeight="1" x14ac:dyDescent="0.25">
      <c r="A114" s="117" t="s">
        <v>39</v>
      </c>
      <c r="B114" s="102" t="s">
        <v>1196</v>
      </c>
      <c r="C114" s="102">
        <v>22</v>
      </c>
      <c r="D114" s="102" t="s">
        <v>241</v>
      </c>
      <c r="E114" s="102">
        <v>0</v>
      </c>
      <c r="F114" s="102" t="s">
        <v>242</v>
      </c>
      <c r="G114" s="81" t="s">
        <v>243</v>
      </c>
      <c r="H114" s="12">
        <v>43479</v>
      </c>
      <c r="I114" s="12">
        <v>43524</v>
      </c>
      <c r="J114" s="51" t="s">
        <v>244</v>
      </c>
      <c r="K114" s="119" t="s">
        <v>245</v>
      </c>
      <c r="L114" s="102" t="s">
        <v>246</v>
      </c>
      <c r="M114" s="117" t="s">
        <v>247</v>
      </c>
      <c r="N114" s="102" t="s">
        <v>1192</v>
      </c>
      <c r="O114" s="102" t="s">
        <v>1192</v>
      </c>
      <c r="P114" s="101">
        <f>IFERROR((40%/40%),"No aplica")</f>
        <v>1</v>
      </c>
      <c r="Q114" s="101">
        <f>IFERROR((40%/100%),"No aplica")</f>
        <v>0.4</v>
      </c>
      <c r="R114" s="102" t="s">
        <v>692</v>
      </c>
      <c r="S114" s="106" t="s">
        <v>1195</v>
      </c>
      <c r="T114" s="106" t="s">
        <v>1194</v>
      </c>
      <c r="U114" s="107" t="s">
        <v>1193</v>
      </c>
      <c r="V114" s="117" t="s">
        <v>247</v>
      </c>
      <c r="W114" s="102" t="s">
        <v>1192</v>
      </c>
      <c r="X114" s="102" t="s">
        <v>1192</v>
      </c>
      <c r="Y114" s="101">
        <f>IFERROR((40%/40%),"No aplica")</f>
        <v>1</v>
      </c>
      <c r="Z114" s="101">
        <f>IFERROR((80%/100%),"No aplica")</f>
        <v>0.8</v>
      </c>
      <c r="AA114" s="102" t="s">
        <v>692</v>
      </c>
      <c r="AB114" s="106" t="s">
        <v>1191</v>
      </c>
      <c r="AC114" s="106" t="s">
        <v>1190</v>
      </c>
      <c r="AD114" s="107" t="s">
        <v>1189</v>
      </c>
      <c r="AE114" s="117" t="s">
        <v>247</v>
      </c>
      <c r="AF114" s="102" t="s">
        <v>1188</v>
      </c>
      <c r="AG114" s="102" t="s">
        <v>1188</v>
      </c>
      <c r="AH114" s="101">
        <f>IFERROR((20%/20%),"No aplica")</f>
        <v>1</v>
      </c>
      <c r="AI114" s="101">
        <f>IFERROR((40%+40%+20%/100%),"No aplica")</f>
        <v>1</v>
      </c>
      <c r="AJ114" s="102" t="s">
        <v>692</v>
      </c>
      <c r="AK114" s="106" t="s">
        <v>1187</v>
      </c>
      <c r="AL114" s="106" t="s">
        <v>1186</v>
      </c>
    </row>
    <row r="115" spans="1:38" ht="21.75" customHeight="1" x14ac:dyDescent="0.25">
      <c r="A115" s="117"/>
      <c r="B115" s="102"/>
      <c r="C115" s="102"/>
      <c r="D115" s="102"/>
      <c r="E115" s="102"/>
      <c r="F115" s="102"/>
      <c r="G115" s="81" t="s">
        <v>248</v>
      </c>
      <c r="H115" s="12">
        <v>43525</v>
      </c>
      <c r="I115" s="12">
        <v>43554</v>
      </c>
      <c r="J115" s="51" t="s">
        <v>244</v>
      </c>
      <c r="K115" s="119"/>
      <c r="L115" s="102"/>
      <c r="M115" s="117"/>
      <c r="N115" s="102"/>
      <c r="O115" s="102"/>
      <c r="P115" s="101"/>
      <c r="Q115" s="101"/>
      <c r="R115" s="102"/>
      <c r="S115" s="106"/>
      <c r="T115" s="106"/>
      <c r="U115" s="107"/>
      <c r="V115" s="117"/>
      <c r="W115" s="102"/>
      <c r="X115" s="102"/>
      <c r="Y115" s="101"/>
      <c r="Z115" s="101"/>
      <c r="AA115" s="102"/>
      <c r="AB115" s="106"/>
      <c r="AC115" s="106"/>
      <c r="AD115" s="107"/>
      <c r="AE115" s="117"/>
      <c r="AF115" s="102"/>
      <c r="AG115" s="102"/>
      <c r="AH115" s="101"/>
      <c r="AI115" s="101"/>
      <c r="AJ115" s="102"/>
      <c r="AK115" s="106"/>
      <c r="AL115" s="106"/>
    </row>
    <row r="116" spans="1:38" ht="32.25" customHeight="1" x14ac:dyDescent="0.25">
      <c r="A116" s="117"/>
      <c r="B116" s="102"/>
      <c r="C116" s="102"/>
      <c r="D116" s="102"/>
      <c r="E116" s="102"/>
      <c r="F116" s="102"/>
      <c r="G116" s="81" t="s">
        <v>249</v>
      </c>
      <c r="H116" s="12">
        <v>43525</v>
      </c>
      <c r="I116" s="12">
        <v>43554</v>
      </c>
      <c r="J116" s="51" t="s">
        <v>244</v>
      </c>
      <c r="K116" s="119"/>
      <c r="L116" s="102"/>
      <c r="M116" s="117"/>
      <c r="N116" s="102"/>
      <c r="O116" s="102"/>
      <c r="P116" s="101"/>
      <c r="Q116" s="101"/>
      <c r="R116" s="102"/>
      <c r="S116" s="106"/>
      <c r="T116" s="106"/>
      <c r="U116" s="107"/>
      <c r="V116" s="117"/>
      <c r="W116" s="102"/>
      <c r="X116" s="102"/>
      <c r="Y116" s="101"/>
      <c r="Z116" s="101"/>
      <c r="AA116" s="102"/>
      <c r="AB116" s="106"/>
      <c r="AC116" s="106"/>
      <c r="AD116" s="107"/>
      <c r="AE116" s="117"/>
      <c r="AF116" s="102"/>
      <c r="AG116" s="102"/>
      <c r="AH116" s="101"/>
      <c r="AI116" s="101"/>
      <c r="AJ116" s="102"/>
      <c r="AK116" s="106"/>
      <c r="AL116" s="106"/>
    </row>
    <row r="117" spans="1:38" ht="31.5" x14ac:dyDescent="0.25">
      <c r="A117" s="117"/>
      <c r="B117" s="102"/>
      <c r="C117" s="102"/>
      <c r="D117" s="102"/>
      <c r="E117" s="102"/>
      <c r="F117" s="102"/>
      <c r="G117" s="81" t="s">
        <v>250</v>
      </c>
      <c r="H117" s="12">
        <v>43586</v>
      </c>
      <c r="I117" s="12">
        <v>43615</v>
      </c>
      <c r="J117" s="51" t="s">
        <v>244</v>
      </c>
      <c r="K117" s="119"/>
      <c r="L117" s="102"/>
      <c r="M117" s="117"/>
      <c r="N117" s="102"/>
      <c r="O117" s="102"/>
      <c r="P117" s="101"/>
      <c r="Q117" s="101"/>
      <c r="R117" s="102"/>
      <c r="S117" s="106"/>
      <c r="T117" s="106"/>
      <c r="U117" s="107"/>
      <c r="V117" s="117"/>
      <c r="W117" s="102"/>
      <c r="X117" s="102"/>
      <c r="Y117" s="101"/>
      <c r="Z117" s="101"/>
      <c r="AA117" s="102"/>
      <c r="AB117" s="106"/>
      <c r="AC117" s="106"/>
      <c r="AD117" s="107"/>
      <c r="AE117" s="117"/>
      <c r="AF117" s="102"/>
      <c r="AG117" s="102"/>
      <c r="AH117" s="101"/>
      <c r="AI117" s="101"/>
      <c r="AJ117" s="102"/>
      <c r="AK117" s="106"/>
      <c r="AL117" s="106"/>
    </row>
    <row r="118" spans="1:38" ht="31.5" x14ac:dyDescent="0.25">
      <c r="A118" s="117"/>
      <c r="B118" s="102"/>
      <c r="C118" s="102"/>
      <c r="D118" s="102"/>
      <c r="E118" s="102"/>
      <c r="F118" s="102"/>
      <c r="G118" s="81" t="s">
        <v>251</v>
      </c>
      <c r="H118" s="12">
        <v>43586</v>
      </c>
      <c r="I118" s="12">
        <v>43615</v>
      </c>
      <c r="J118" s="51" t="s">
        <v>244</v>
      </c>
      <c r="K118" s="119"/>
      <c r="L118" s="102"/>
      <c r="M118" s="117"/>
      <c r="N118" s="102"/>
      <c r="O118" s="102"/>
      <c r="P118" s="101"/>
      <c r="Q118" s="101"/>
      <c r="R118" s="102"/>
      <c r="S118" s="106"/>
      <c r="T118" s="106"/>
      <c r="U118" s="107"/>
      <c r="V118" s="117"/>
      <c r="W118" s="102"/>
      <c r="X118" s="102"/>
      <c r="Y118" s="101"/>
      <c r="Z118" s="101"/>
      <c r="AA118" s="102"/>
      <c r="AB118" s="106"/>
      <c r="AC118" s="106"/>
      <c r="AD118" s="107"/>
      <c r="AE118" s="117"/>
      <c r="AF118" s="102"/>
      <c r="AG118" s="102"/>
      <c r="AH118" s="101"/>
      <c r="AI118" s="101"/>
      <c r="AJ118" s="102"/>
      <c r="AK118" s="106"/>
      <c r="AL118" s="106"/>
    </row>
    <row r="119" spans="1:38" ht="31.5" x14ac:dyDescent="0.25">
      <c r="A119" s="117"/>
      <c r="B119" s="102"/>
      <c r="C119" s="102"/>
      <c r="D119" s="102"/>
      <c r="E119" s="102"/>
      <c r="F119" s="102"/>
      <c r="G119" s="81" t="s">
        <v>252</v>
      </c>
      <c r="H119" s="12">
        <v>43617</v>
      </c>
      <c r="I119" s="12">
        <v>43646</v>
      </c>
      <c r="J119" s="51" t="s">
        <v>244</v>
      </c>
      <c r="K119" s="119"/>
      <c r="L119" s="102"/>
      <c r="M119" s="117"/>
      <c r="N119" s="102"/>
      <c r="O119" s="102"/>
      <c r="P119" s="101"/>
      <c r="Q119" s="101"/>
      <c r="R119" s="102"/>
      <c r="S119" s="106"/>
      <c r="T119" s="106"/>
      <c r="U119" s="107"/>
      <c r="V119" s="117"/>
      <c r="W119" s="102"/>
      <c r="X119" s="102"/>
      <c r="Y119" s="101"/>
      <c r="Z119" s="101"/>
      <c r="AA119" s="102"/>
      <c r="AB119" s="106"/>
      <c r="AC119" s="106"/>
      <c r="AD119" s="107"/>
      <c r="AE119" s="117"/>
      <c r="AF119" s="102"/>
      <c r="AG119" s="102"/>
      <c r="AH119" s="101"/>
      <c r="AI119" s="101"/>
      <c r="AJ119" s="102"/>
      <c r="AK119" s="106"/>
      <c r="AL119" s="106"/>
    </row>
    <row r="120" spans="1:38" x14ac:dyDescent="0.25">
      <c r="A120" s="117"/>
      <c r="B120" s="102"/>
      <c r="C120" s="102"/>
      <c r="D120" s="102"/>
      <c r="E120" s="102"/>
      <c r="F120" s="102"/>
      <c r="G120" s="81" t="s">
        <v>253</v>
      </c>
      <c r="H120" s="12">
        <v>43479</v>
      </c>
      <c r="I120" s="12">
        <v>43646</v>
      </c>
      <c r="J120" s="83" t="s">
        <v>244</v>
      </c>
      <c r="K120" s="119"/>
      <c r="L120" s="102"/>
      <c r="M120" s="117"/>
      <c r="N120" s="102"/>
      <c r="O120" s="102"/>
      <c r="P120" s="101"/>
      <c r="Q120" s="101"/>
      <c r="R120" s="102"/>
      <c r="S120" s="106"/>
      <c r="T120" s="106"/>
      <c r="U120" s="107"/>
      <c r="V120" s="117"/>
      <c r="W120" s="102"/>
      <c r="X120" s="102"/>
      <c r="Y120" s="101"/>
      <c r="Z120" s="101"/>
      <c r="AA120" s="102"/>
      <c r="AB120" s="106"/>
      <c r="AC120" s="106"/>
      <c r="AD120" s="107"/>
      <c r="AE120" s="117"/>
      <c r="AF120" s="102"/>
      <c r="AG120" s="102"/>
      <c r="AH120" s="101"/>
      <c r="AI120" s="101"/>
      <c r="AJ120" s="102"/>
      <c r="AK120" s="106"/>
      <c r="AL120" s="106"/>
    </row>
    <row r="121" spans="1:38" ht="31.5" x14ac:dyDescent="0.25">
      <c r="A121" s="117"/>
      <c r="B121" s="102"/>
      <c r="C121" s="102"/>
      <c r="D121" s="102"/>
      <c r="E121" s="102"/>
      <c r="F121" s="102"/>
      <c r="G121" s="81" t="s">
        <v>254</v>
      </c>
      <c r="H121" s="12">
        <v>43617</v>
      </c>
      <c r="I121" s="12">
        <v>43708</v>
      </c>
      <c r="J121" s="83" t="s">
        <v>244</v>
      </c>
      <c r="K121" s="119"/>
      <c r="L121" s="102"/>
      <c r="M121" s="117"/>
      <c r="N121" s="102"/>
      <c r="O121" s="102"/>
      <c r="P121" s="101"/>
      <c r="Q121" s="101"/>
      <c r="R121" s="102"/>
      <c r="S121" s="106"/>
      <c r="T121" s="106"/>
      <c r="U121" s="107"/>
      <c r="V121" s="117"/>
      <c r="W121" s="102"/>
      <c r="X121" s="102"/>
      <c r="Y121" s="101"/>
      <c r="Z121" s="101"/>
      <c r="AA121" s="102"/>
      <c r="AB121" s="106"/>
      <c r="AC121" s="106"/>
      <c r="AD121" s="107"/>
      <c r="AE121" s="117"/>
      <c r="AF121" s="102"/>
      <c r="AG121" s="102"/>
      <c r="AH121" s="101"/>
      <c r="AI121" s="101"/>
      <c r="AJ121" s="102"/>
      <c r="AK121" s="106"/>
      <c r="AL121" s="106"/>
    </row>
    <row r="122" spans="1:38" ht="31.5" x14ac:dyDescent="0.25">
      <c r="A122" s="117"/>
      <c r="B122" s="102"/>
      <c r="C122" s="102"/>
      <c r="D122" s="102"/>
      <c r="E122" s="102"/>
      <c r="F122" s="102"/>
      <c r="G122" s="81" t="s">
        <v>255</v>
      </c>
      <c r="H122" s="12">
        <v>43709</v>
      </c>
      <c r="I122" s="12">
        <v>43738</v>
      </c>
      <c r="J122" s="51" t="s">
        <v>244</v>
      </c>
      <c r="K122" s="119"/>
      <c r="L122" s="102"/>
      <c r="M122" s="117"/>
      <c r="N122" s="102"/>
      <c r="O122" s="102"/>
      <c r="P122" s="101"/>
      <c r="Q122" s="101"/>
      <c r="R122" s="102"/>
      <c r="S122" s="106"/>
      <c r="T122" s="106"/>
      <c r="U122" s="107"/>
      <c r="V122" s="117"/>
      <c r="W122" s="102"/>
      <c r="X122" s="102"/>
      <c r="Y122" s="101"/>
      <c r="Z122" s="101"/>
      <c r="AA122" s="102"/>
      <c r="AB122" s="106"/>
      <c r="AC122" s="106"/>
      <c r="AD122" s="107"/>
      <c r="AE122" s="117"/>
      <c r="AF122" s="102"/>
      <c r="AG122" s="102"/>
      <c r="AH122" s="101"/>
      <c r="AI122" s="101"/>
      <c r="AJ122" s="102"/>
      <c r="AK122" s="106"/>
      <c r="AL122" s="106"/>
    </row>
    <row r="123" spans="1:38" ht="31.5" x14ac:dyDescent="0.25">
      <c r="A123" s="117"/>
      <c r="B123" s="102"/>
      <c r="C123" s="102"/>
      <c r="D123" s="102"/>
      <c r="E123" s="102"/>
      <c r="F123" s="102"/>
      <c r="G123" s="81" t="s">
        <v>256</v>
      </c>
      <c r="H123" s="12">
        <v>43739</v>
      </c>
      <c r="I123" s="12">
        <v>43829</v>
      </c>
      <c r="J123" s="51" t="s">
        <v>244</v>
      </c>
      <c r="K123" s="119"/>
      <c r="L123" s="102"/>
      <c r="M123" s="117"/>
      <c r="N123" s="102"/>
      <c r="O123" s="102"/>
      <c r="P123" s="101"/>
      <c r="Q123" s="101"/>
      <c r="R123" s="102"/>
      <c r="S123" s="106"/>
      <c r="T123" s="106"/>
      <c r="U123" s="107"/>
      <c r="V123" s="117"/>
      <c r="W123" s="102"/>
      <c r="X123" s="102"/>
      <c r="Y123" s="101"/>
      <c r="Z123" s="101"/>
      <c r="AA123" s="102"/>
      <c r="AB123" s="106"/>
      <c r="AC123" s="106"/>
      <c r="AD123" s="107"/>
      <c r="AE123" s="117"/>
      <c r="AF123" s="102"/>
      <c r="AG123" s="102"/>
      <c r="AH123" s="101"/>
      <c r="AI123" s="101"/>
      <c r="AJ123" s="102"/>
      <c r="AK123" s="106"/>
      <c r="AL123" s="106"/>
    </row>
    <row r="124" spans="1:38" x14ac:dyDescent="0.25">
      <c r="A124" s="38" t="s">
        <v>51</v>
      </c>
      <c r="B124" s="39" t="s">
        <v>51</v>
      </c>
      <c r="C124" s="39"/>
      <c r="D124" s="39" t="s">
        <v>51</v>
      </c>
      <c r="E124" s="39" t="s">
        <v>51</v>
      </c>
      <c r="F124" s="39" t="s">
        <v>51</v>
      </c>
      <c r="G124" s="44" t="s">
        <v>51</v>
      </c>
      <c r="H124" s="39" t="s">
        <v>51</v>
      </c>
      <c r="I124" s="39" t="s">
        <v>51</v>
      </c>
      <c r="J124" s="43" t="s">
        <v>51</v>
      </c>
      <c r="K124" s="42" t="s">
        <v>51</v>
      </c>
      <c r="L124" s="39" t="s">
        <v>51</v>
      </c>
      <c r="M124" s="38" t="s">
        <v>51</v>
      </c>
      <c r="N124" s="39"/>
      <c r="O124" s="39"/>
      <c r="P124" s="39"/>
      <c r="Q124" s="39"/>
      <c r="R124" s="39"/>
      <c r="S124" s="39"/>
      <c r="T124" s="37"/>
      <c r="U124" s="40"/>
      <c r="V124" s="38" t="s">
        <v>51</v>
      </c>
      <c r="W124" s="39"/>
      <c r="X124" s="39"/>
      <c r="Y124" s="39"/>
      <c r="Z124" s="39"/>
      <c r="AA124" s="38" t="s">
        <v>51</v>
      </c>
      <c r="AB124" s="37"/>
      <c r="AC124" s="37"/>
      <c r="AD124" s="40"/>
      <c r="AE124" s="38" t="s">
        <v>51</v>
      </c>
      <c r="AF124" s="39"/>
      <c r="AG124" s="39"/>
      <c r="AH124" s="39"/>
      <c r="AI124" s="39"/>
      <c r="AJ124" s="38" t="s">
        <v>51</v>
      </c>
      <c r="AK124" s="37"/>
      <c r="AL124" s="37"/>
    </row>
    <row r="125" spans="1:38" ht="49.5" customHeight="1" x14ac:dyDescent="0.25">
      <c r="A125" s="117" t="s">
        <v>14</v>
      </c>
      <c r="B125" s="102" t="s">
        <v>257</v>
      </c>
      <c r="C125" s="102">
        <v>23</v>
      </c>
      <c r="D125" s="102" t="s">
        <v>258</v>
      </c>
      <c r="E125" s="102">
        <v>0</v>
      </c>
      <c r="F125" s="102" t="s">
        <v>259</v>
      </c>
      <c r="G125" s="81" t="s">
        <v>260</v>
      </c>
      <c r="H125" s="12">
        <v>43480</v>
      </c>
      <c r="I125" s="12">
        <v>43511</v>
      </c>
      <c r="J125" s="51" t="s">
        <v>261</v>
      </c>
      <c r="K125" s="119" t="s">
        <v>262</v>
      </c>
      <c r="L125" s="102" t="s">
        <v>75</v>
      </c>
      <c r="M125" s="117" t="s">
        <v>263</v>
      </c>
      <c r="N125" s="102" t="s">
        <v>1182</v>
      </c>
      <c r="O125" s="102" t="s">
        <v>1182</v>
      </c>
      <c r="P125" s="101">
        <f>IFERROR((1/1),"No aplica")</f>
        <v>1</v>
      </c>
      <c r="Q125" s="101">
        <f>IFERROR((1/6),"No aplica")</f>
        <v>0.16666666666666666</v>
      </c>
      <c r="R125" s="102" t="s">
        <v>692</v>
      </c>
      <c r="S125" s="106" t="s">
        <v>1185</v>
      </c>
      <c r="T125" s="106" t="s">
        <v>1184</v>
      </c>
      <c r="U125" s="107" t="s">
        <v>1183</v>
      </c>
      <c r="V125" s="117" t="s">
        <v>263</v>
      </c>
      <c r="W125" s="102" t="s">
        <v>1182</v>
      </c>
      <c r="X125" s="102" t="s">
        <v>1182</v>
      </c>
      <c r="Y125" s="101">
        <f>IFERROR((1/1),"No aplica")</f>
        <v>1</v>
      </c>
      <c r="Z125" s="101">
        <f>IFERROR((2/6),"No aplica")</f>
        <v>0.33333333333333331</v>
      </c>
      <c r="AA125" s="102" t="s">
        <v>692</v>
      </c>
      <c r="AB125" s="106" t="s">
        <v>1181</v>
      </c>
      <c r="AC125" s="106" t="s">
        <v>1180</v>
      </c>
      <c r="AD125" s="107" t="s">
        <v>1179</v>
      </c>
      <c r="AE125" s="117" t="s">
        <v>263</v>
      </c>
      <c r="AF125" s="102" t="s">
        <v>1178</v>
      </c>
      <c r="AG125" s="102" t="s">
        <v>1178</v>
      </c>
      <c r="AH125" s="101">
        <f>IFERROR((2/2),"No aplica")</f>
        <v>1</v>
      </c>
      <c r="AI125" s="101">
        <f>IFERROR((4/6),"No aplica")</f>
        <v>0.66666666666666663</v>
      </c>
      <c r="AJ125" s="102" t="s">
        <v>692</v>
      </c>
      <c r="AK125" s="106" t="s">
        <v>1177</v>
      </c>
      <c r="AL125" s="106" t="s">
        <v>1176</v>
      </c>
    </row>
    <row r="126" spans="1:38" ht="49.5" customHeight="1" x14ac:dyDescent="0.25">
      <c r="A126" s="117"/>
      <c r="B126" s="102"/>
      <c r="C126" s="102"/>
      <c r="D126" s="102"/>
      <c r="E126" s="102"/>
      <c r="F126" s="102"/>
      <c r="G126" s="81" t="s">
        <v>264</v>
      </c>
      <c r="H126" s="12">
        <v>43480</v>
      </c>
      <c r="I126" s="12">
        <v>43539</v>
      </c>
      <c r="J126" s="51" t="s">
        <v>261</v>
      </c>
      <c r="K126" s="119"/>
      <c r="L126" s="102"/>
      <c r="M126" s="117"/>
      <c r="N126" s="102"/>
      <c r="O126" s="102"/>
      <c r="P126" s="101"/>
      <c r="Q126" s="101"/>
      <c r="R126" s="102"/>
      <c r="S126" s="106"/>
      <c r="T126" s="106"/>
      <c r="U126" s="107"/>
      <c r="V126" s="117"/>
      <c r="W126" s="102"/>
      <c r="X126" s="102"/>
      <c r="Y126" s="101"/>
      <c r="Z126" s="101"/>
      <c r="AA126" s="102"/>
      <c r="AB126" s="106"/>
      <c r="AC126" s="106"/>
      <c r="AD126" s="107"/>
      <c r="AE126" s="117"/>
      <c r="AF126" s="102"/>
      <c r="AG126" s="102"/>
      <c r="AH126" s="101"/>
      <c r="AI126" s="101"/>
      <c r="AJ126" s="102"/>
      <c r="AK126" s="106"/>
      <c r="AL126" s="106"/>
    </row>
    <row r="127" spans="1:38" ht="49.5" customHeight="1" x14ac:dyDescent="0.25">
      <c r="A127" s="117"/>
      <c r="B127" s="102"/>
      <c r="C127" s="102"/>
      <c r="D127" s="102"/>
      <c r="E127" s="102"/>
      <c r="F127" s="102"/>
      <c r="G127" s="81" t="s">
        <v>265</v>
      </c>
      <c r="H127" s="12">
        <v>43511</v>
      </c>
      <c r="I127" s="12">
        <v>43830</v>
      </c>
      <c r="J127" s="51" t="s">
        <v>261</v>
      </c>
      <c r="K127" s="119"/>
      <c r="L127" s="102"/>
      <c r="M127" s="117"/>
      <c r="N127" s="102"/>
      <c r="O127" s="102"/>
      <c r="P127" s="101"/>
      <c r="Q127" s="101"/>
      <c r="R127" s="102"/>
      <c r="S127" s="106"/>
      <c r="T127" s="106"/>
      <c r="U127" s="107"/>
      <c r="V127" s="117"/>
      <c r="W127" s="102"/>
      <c r="X127" s="102"/>
      <c r="Y127" s="101"/>
      <c r="Z127" s="101"/>
      <c r="AA127" s="102"/>
      <c r="AB127" s="106"/>
      <c r="AC127" s="106"/>
      <c r="AD127" s="107"/>
      <c r="AE127" s="117"/>
      <c r="AF127" s="102"/>
      <c r="AG127" s="102"/>
      <c r="AH127" s="101"/>
      <c r="AI127" s="101"/>
      <c r="AJ127" s="102"/>
      <c r="AK127" s="106"/>
      <c r="AL127" s="106"/>
    </row>
    <row r="128" spans="1:38" ht="49.5" customHeight="1" x14ac:dyDescent="0.25">
      <c r="A128" s="117"/>
      <c r="B128" s="102"/>
      <c r="C128" s="102"/>
      <c r="D128" s="102"/>
      <c r="E128" s="102"/>
      <c r="F128" s="102"/>
      <c r="G128" s="81" t="s">
        <v>266</v>
      </c>
      <c r="H128" s="12">
        <v>43570</v>
      </c>
      <c r="I128" s="12">
        <v>43830</v>
      </c>
      <c r="J128" s="51" t="s">
        <v>261</v>
      </c>
      <c r="K128" s="119"/>
      <c r="L128" s="102"/>
      <c r="M128" s="117"/>
      <c r="N128" s="102"/>
      <c r="O128" s="102"/>
      <c r="P128" s="101"/>
      <c r="Q128" s="101"/>
      <c r="R128" s="102"/>
      <c r="S128" s="106"/>
      <c r="T128" s="106"/>
      <c r="U128" s="107"/>
      <c r="V128" s="117"/>
      <c r="W128" s="102"/>
      <c r="X128" s="102"/>
      <c r="Y128" s="101"/>
      <c r="Z128" s="101"/>
      <c r="AA128" s="102"/>
      <c r="AB128" s="106"/>
      <c r="AC128" s="106"/>
      <c r="AD128" s="107"/>
      <c r="AE128" s="117"/>
      <c r="AF128" s="102"/>
      <c r="AG128" s="102"/>
      <c r="AH128" s="101"/>
      <c r="AI128" s="101"/>
      <c r="AJ128" s="102"/>
      <c r="AK128" s="106"/>
      <c r="AL128" s="106"/>
    </row>
    <row r="129" spans="1:38" ht="57" customHeight="1" x14ac:dyDescent="0.25">
      <c r="A129" s="117" t="s">
        <v>14</v>
      </c>
      <c r="B129" s="102" t="s">
        <v>257</v>
      </c>
      <c r="C129" s="102">
        <v>24</v>
      </c>
      <c r="D129" s="102" t="s">
        <v>267</v>
      </c>
      <c r="E129" s="102">
        <v>0</v>
      </c>
      <c r="F129" s="102" t="s">
        <v>268</v>
      </c>
      <c r="G129" s="81" t="s">
        <v>269</v>
      </c>
      <c r="H129" s="12">
        <v>43586</v>
      </c>
      <c r="I129" s="12">
        <v>43617</v>
      </c>
      <c r="J129" s="51" t="s">
        <v>261</v>
      </c>
      <c r="K129" s="119" t="s">
        <v>270</v>
      </c>
      <c r="L129" s="102" t="s">
        <v>195</v>
      </c>
      <c r="M129" s="117" t="s">
        <v>271</v>
      </c>
      <c r="N129" s="102" t="s">
        <v>1174</v>
      </c>
      <c r="O129" s="102" t="s">
        <v>1174</v>
      </c>
      <c r="P129" s="101" t="str">
        <f>IFERROR((0%/0%),"No aplica")</f>
        <v>No aplica</v>
      </c>
      <c r="Q129" s="101">
        <f>IFERROR((0%/70%),"No aplica")</f>
        <v>0</v>
      </c>
      <c r="R129" s="102" t="s">
        <v>697</v>
      </c>
      <c r="S129" s="106" t="s">
        <v>700</v>
      </c>
      <c r="T129" s="106" t="s">
        <v>75</v>
      </c>
      <c r="U129" s="107" t="s">
        <v>1175</v>
      </c>
      <c r="V129" s="117" t="s">
        <v>271</v>
      </c>
      <c r="W129" s="102" t="s">
        <v>1174</v>
      </c>
      <c r="X129" s="102" t="s">
        <v>1169</v>
      </c>
      <c r="Y129" s="134" t="str">
        <f>IFERROR((20%/0%),"No aplica")</f>
        <v>No aplica</v>
      </c>
      <c r="Z129" s="101">
        <f>IFERROR((20%/70%),"No aplica")</f>
        <v>0.28571428571428575</v>
      </c>
      <c r="AA129" s="102" t="s">
        <v>692</v>
      </c>
      <c r="AB129" s="106" t="s">
        <v>1173</v>
      </c>
      <c r="AC129" s="106" t="s">
        <v>1172</v>
      </c>
      <c r="AD129" s="107" t="s">
        <v>1171</v>
      </c>
      <c r="AE129" s="117" t="s">
        <v>271</v>
      </c>
      <c r="AF129" s="102" t="s">
        <v>1170</v>
      </c>
      <c r="AG129" s="102" t="s">
        <v>1169</v>
      </c>
      <c r="AH129" s="101">
        <f>IFERROR((20%/40%),"No aplica")</f>
        <v>0.5</v>
      </c>
      <c r="AI129" s="101">
        <f>IFERROR(((20%+20%)/70%),"No aplica")</f>
        <v>0.57142857142857151</v>
      </c>
      <c r="AJ129" s="102" t="s">
        <v>692</v>
      </c>
      <c r="AK129" s="106" t="s">
        <v>1168</v>
      </c>
      <c r="AL129" s="106" t="s">
        <v>1167</v>
      </c>
    </row>
    <row r="130" spans="1:38" ht="57" customHeight="1" x14ac:dyDescent="0.25">
      <c r="A130" s="117"/>
      <c r="B130" s="102"/>
      <c r="C130" s="102"/>
      <c r="D130" s="102"/>
      <c r="E130" s="102"/>
      <c r="F130" s="102"/>
      <c r="G130" s="81" t="s">
        <v>272</v>
      </c>
      <c r="H130" s="12">
        <v>43617</v>
      </c>
      <c r="I130" s="12">
        <v>43678</v>
      </c>
      <c r="J130" s="51" t="s">
        <v>261</v>
      </c>
      <c r="K130" s="119"/>
      <c r="L130" s="102"/>
      <c r="M130" s="117"/>
      <c r="N130" s="102"/>
      <c r="O130" s="102"/>
      <c r="P130" s="101"/>
      <c r="Q130" s="101"/>
      <c r="R130" s="102"/>
      <c r="S130" s="106"/>
      <c r="T130" s="106"/>
      <c r="U130" s="107"/>
      <c r="V130" s="117"/>
      <c r="W130" s="102"/>
      <c r="X130" s="102"/>
      <c r="Y130" s="101"/>
      <c r="Z130" s="101"/>
      <c r="AA130" s="102"/>
      <c r="AB130" s="106"/>
      <c r="AC130" s="106"/>
      <c r="AD130" s="107"/>
      <c r="AE130" s="117"/>
      <c r="AF130" s="102"/>
      <c r="AG130" s="102"/>
      <c r="AH130" s="101"/>
      <c r="AI130" s="101"/>
      <c r="AJ130" s="102"/>
      <c r="AK130" s="106"/>
      <c r="AL130" s="106"/>
    </row>
    <row r="131" spans="1:38" ht="57" customHeight="1" x14ac:dyDescent="0.25">
      <c r="A131" s="117"/>
      <c r="B131" s="102"/>
      <c r="C131" s="102"/>
      <c r="D131" s="102"/>
      <c r="E131" s="102"/>
      <c r="F131" s="102"/>
      <c r="G131" s="81" t="s">
        <v>273</v>
      </c>
      <c r="H131" s="12">
        <v>43678</v>
      </c>
      <c r="I131" s="12">
        <v>43753</v>
      </c>
      <c r="J131" s="51" t="s">
        <v>261</v>
      </c>
      <c r="K131" s="119"/>
      <c r="L131" s="102"/>
      <c r="M131" s="117"/>
      <c r="N131" s="102"/>
      <c r="O131" s="102"/>
      <c r="P131" s="101"/>
      <c r="Q131" s="101"/>
      <c r="R131" s="102"/>
      <c r="S131" s="106"/>
      <c r="T131" s="106"/>
      <c r="U131" s="107"/>
      <c r="V131" s="117"/>
      <c r="W131" s="102"/>
      <c r="X131" s="102"/>
      <c r="Y131" s="101"/>
      <c r="Z131" s="101"/>
      <c r="AA131" s="102"/>
      <c r="AB131" s="106"/>
      <c r="AC131" s="106"/>
      <c r="AD131" s="107"/>
      <c r="AE131" s="117"/>
      <c r="AF131" s="102"/>
      <c r="AG131" s="102"/>
      <c r="AH131" s="101"/>
      <c r="AI131" s="101"/>
      <c r="AJ131" s="102"/>
      <c r="AK131" s="106"/>
      <c r="AL131" s="106"/>
    </row>
    <row r="132" spans="1:38" ht="50.25" customHeight="1" x14ac:dyDescent="0.25">
      <c r="A132" s="117" t="s">
        <v>39</v>
      </c>
      <c r="B132" s="102" t="s">
        <v>274</v>
      </c>
      <c r="C132" s="102">
        <v>25</v>
      </c>
      <c r="D132" s="102" t="s">
        <v>275</v>
      </c>
      <c r="E132" s="102">
        <v>0</v>
      </c>
      <c r="F132" s="102" t="s">
        <v>276</v>
      </c>
      <c r="G132" s="81" t="s">
        <v>277</v>
      </c>
      <c r="H132" s="12">
        <v>43466</v>
      </c>
      <c r="I132" s="12">
        <v>43511</v>
      </c>
      <c r="J132" s="51" t="s">
        <v>261</v>
      </c>
      <c r="K132" s="140" t="s">
        <v>270</v>
      </c>
      <c r="L132" s="101" t="s">
        <v>195</v>
      </c>
      <c r="M132" s="141" t="s">
        <v>278</v>
      </c>
      <c r="N132" s="101" t="s">
        <v>1166</v>
      </c>
      <c r="O132" s="101" t="s">
        <v>1166</v>
      </c>
      <c r="P132" s="101">
        <f>IFERROR((15%/15%),"No aplica")</f>
        <v>1</v>
      </c>
      <c r="Q132" s="101">
        <f>IFERROR((15%/100%),"No aplica")</f>
        <v>0.15</v>
      </c>
      <c r="R132" s="101" t="s">
        <v>692</v>
      </c>
      <c r="S132" s="142" t="s">
        <v>1165</v>
      </c>
      <c r="T132" s="142" t="s">
        <v>1152</v>
      </c>
      <c r="U132" s="143" t="s">
        <v>1164</v>
      </c>
      <c r="V132" s="141" t="s">
        <v>278</v>
      </c>
      <c r="W132" s="101" t="s">
        <v>1163</v>
      </c>
      <c r="X132" s="101" t="s">
        <v>1162</v>
      </c>
      <c r="Y132" s="101">
        <f>IFERROR((35%/63%),"No aplica")</f>
        <v>0.55555555555555547</v>
      </c>
      <c r="Z132" s="101">
        <f>IFERROR(((35%+15%)/100%),"No aplica")</f>
        <v>0.5</v>
      </c>
      <c r="AA132" s="101" t="s">
        <v>703</v>
      </c>
      <c r="AB132" s="142" t="s">
        <v>1161</v>
      </c>
      <c r="AC132" s="144" t="s">
        <v>1160</v>
      </c>
      <c r="AD132" s="143" t="s">
        <v>1159</v>
      </c>
      <c r="AE132" s="141" t="s">
        <v>278</v>
      </c>
      <c r="AF132" s="101" t="s">
        <v>1158</v>
      </c>
      <c r="AG132" s="101" t="s">
        <v>1157</v>
      </c>
      <c r="AH132" s="101">
        <f>IFERROR((39%/11%),"No aplica")</f>
        <v>3.5454545454545454</v>
      </c>
      <c r="AI132" s="101">
        <f>IFERROR(((15%+35%+39%)/100%),"No aplica")</f>
        <v>0.89</v>
      </c>
      <c r="AJ132" s="101" t="s">
        <v>692</v>
      </c>
      <c r="AK132" s="142" t="s">
        <v>1156</v>
      </c>
      <c r="AL132" s="144" t="s">
        <v>1155</v>
      </c>
    </row>
    <row r="133" spans="1:38" ht="50.25" customHeight="1" x14ac:dyDescent="0.25">
      <c r="A133" s="117"/>
      <c r="B133" s="102"/>
      <c r="C133" s="102"/>
      <c r="D133" s="102"/>
      <c r="E133" s="102"/>
      <c r="F133" s="102"/>
      <c r="G133" s="81" t="s">
        <v>279</v>
      </c>
      <c r="H133" s="12">
        <v>43473</v>
      </c>
      <c r="I133" s="12">
        <v>43570</v>
      </c>
      <c r="J133" s="51" t="s">
        <v>261</v>
      </c>
      <c r="K133" s="119"/>
      <c r="L133" s="102"/>
      <c r="M133" s="117"/>
      <c r="N133" s="102"/>
      <c r="O133" s="102"/>
      <c r="P133" s="101"/>
      <c r="Q133" s="101"/>
      <c r="R133" s="101"/>
      <c r="S133" s="106"/>
      <c r="T133" s="106"/>
      <c r="U133" s="107"/>
      <c r="V133" s="117"/>
      <c r="W133" s="102"/>
      <c r="X133" s="102"/>
      <c r="Y133" s="101"/>
      <c r="Z133" s="101"/>
      <c r="AA133" s="101"/>
      <c r="AB133" s="106"/>
      <c r="AC133" s="145"/>
      <c r="AD133" s="107"/>
      <c r="AE133" s="117"/>
      <c r="AF133" s="102"/>
      <c r="AG133" s="102"/>
      <c r="AH133" s="101"/>
      <c r="AI133" s="101"/>
      <c r="AJ133" s="101"/>
      <c r="AK133" s="106"/>
      <c r="AL133" s="145"/>
    </row>
    <row r="134" spans="1:38" ht="50.25" customHeight="1" x14ac:dyDescent="0.25">
      <c r="A134" s="117"/>
      <c r="B134" s="102"/>
      <c r="C134" s="102"/>
      <c r="D134" s="102"/>
      <c r="E134" s="102"/>
      <c r="F134" s="102"/>
      <c r="G134" s="81" t="s">
        <v>280</v>
      </c>
      <c r="H134" s="12">
        <v>43525</v>
      </c>
      <c r="I134" s="12">
        <v>43830</v>
      </c>
      <c r="J134" s="51" t="s">
        <v>261</v>
      </c>
      <c r="K134" s="119"/>
      <c r="L134" s="102"/>
      <c r="M134" s="117"/>
      <c r="N134" s="102"/>
      <c r="O134" s="102"/>
      <c r="P134" s="101"/>
      <c r="Q134" s="101"/>
      <c r="R134" s="101"/>
      <c r="S134" s="106"/>
      <c r="T134" s="106"/>
      <c r="U134" s="107"/>
      <c r="V134" s="117"/>
      <c r="W134" s="102"/>
      <c r="X134" s="102"/>
      <c r="Y134" s="101"/>
      <c r="Z134" s="101"/>
      <c r="AA134" s="101"/>
      <c r="AB134" s="106"/>
      <c r="AC134" s="145"/>
      <c r="AD134" s="107"/>
      <c r="AE134" s="117"/>
      <c r="AF134" s="102"/>
      <c r="AG134" s="102"/>
      <c r="AH134" s="101"/>
      <c r="AI134" s="101"/>
      <c r="AJ134" s="101"/>
      <c r="AK134" s="106"/>
      <c r="AL134" s="145"/>
    </row>
    <row r="135" spans="1:38" ht="50.25" customHeight="1" x14ac:dyDescent="0.25">
      <c r="A135" s="117"/>
      <c r="B135" s="102"/>
      <c r="C135" s="102"/>
      <c r="D135" s="102"/>
      <c r="E135" s="102"/>
      <c r="F135" s="102"/>
      <c r="G135" s="81" t="s">
        <v>281</v>
      </c>
      <c r="H135" s="12">
        <v>43586</v>
      </c>
      <c r="I135" s="12" t="s">
        <v>282</v>
      </c>
      <c r="J135" s="51" t="s">
        <v>261</v>
      </c>
      <c r="K135" s="119"/>
      <c r="L135" s="102"/>
      <c r="M135" s="117"/>
      <c r="N135" s="102"/>
      <c r="O135" s="102"/>
      <c r="P135" s="101"/>
      <c r="Q135" s="101"/>
      <c r="R135" s="101"/>
      <c r="S135" s="106"/>
      <c r="T135" s="106"/>
      <c r="U135" s="107"/>
      <c r="V135" s="117"/>
      <c r="W135" s="102"/>
      <c r="X135" s="102"/>
      <c r="Y135" s="101"/>
      <c r="Z135" s="101"/>
      <c r="AA135" s="101"/>
      <c r="AB135" s="106"/>
      <c r="AC135" s="146"/>
      <c r="AD135" s="107"/>
      <c r="AE135" s="117"/>
      <c r="AF135" s="102"/>
      <c r="AG135" s="102"/>
      <c r="AH135" s="101"/>
      <c r="AI135" s="101"/>
      <c r="AJ135" s="101"/>
      <c r="AK135" s="106"/>
      <c r="AL135" s="146"/>
    </row>
    <row r="136" spans="1:38" ht="31.5" x14ac:dyDescent="0.25">
      <c r="A136" s="129" t="s">
        <v>52</v>
      </c>
      <c r="B136" s="130" t="s">
        <v>283</v>
      </c>
      <c r="C136" s="130">
        <v>26</v>
      </c>
      <c r="D136" s="130" t="s">
        <v>284</v>
      </c>
      <c r="E136" s="130">
        <v>0</v>
      </c>
      <c r="F136" s="130" t="s">
        <v>285</v>
      </c>
      <c r="G136" s="14" t="s">
        <v>286</v>
      </c>
      <c r="H136" s="15">
        <v>43466</v>
      </c>
      <c r="I136" s="15">
        <v>43480</v>
      </c>
      <c r="J136" s="36" t="s">
        <v>261</v>
      </c>
      <c r="K136" s="119" t="s">
        <v>270</v>
      </c>
      <c r="L136" s="102" t="s">
        <v>195</v>
      </c>
      <c r="M136" s="117" t="s">
        <v>287</v>
      </c>
      <c r="N136" s="102" t="s">
        <v>1154</v>
      </c>
      <c r="O136" s="102" t="s">
        <v>1154</v>
      </c>
      <c r="P136" s="101" t="str">
        <f>IFERROR((0%/0%),"No aplica")</f>
        <v>No aplica</v>
      </c>
      <c r="Q136" s="101">
        <f>IFERROR((0%/80%),"No aplica")</f>
        <v>0</v>
      </c>
      <c r="R136" s="102" t="s">
        <v>697</v>
      </c>
      <c r="S136" s="106" t="s">
        <v>1153</v>
      </c>
      <c r="T136" s="106" t="s">
        <v>1152</v>
      </c>
      <c r="U136" s="107" t="s">
        <v>1151</v>
      </c>
      <c r="V136" s="117" t="s">
        <v>287</v>
      </c>
      <c r="W136" s="102" t="s">
        <v>1150</v>
      </c>
      <c r="X136" s="102" t="s">
        <v>1149</v>
      </c>
      <c r="Y136" s="101">
        <f>IFERROR((32%/33%),"No aplica")</f>
        <v>0.96969696969696972</v>
      </c>
      <c r="Z136" s="101">
        <f>IFERROR((32%/85%),"No aplica")</f>
        <v>0.37647058823529411</v>
      </c>
      <c r="AA136" s="147" t="s">
        <v>692</v>
      </c>
      <c r="AB136" s="106" t="s">
        <v>1148</v>
      </c>
      <c r="AC136" s="106" t="s">
        <v>1147</v>
      </c>
      <c r="AD136" s="107" t="s">
        <v>1146</v>
      </c>
      <c r="AE136" s="117" t="s">
        <v>287</v>
      </c>
      <c r="AF136" s="102" t="s">
        <v>1145</v>
      </c>
      <c r="AG136" s="102" t="s">
        <v>1144</v>
      </c>
      <c r="AH136" s="101">
        <f>IFERROR((3%/35%),"No aplica")</f>
        <v>8.5714285714285715E-2</v>
      </c>
      <c r="AI136" s="101">
        <f>IFERROR(((32%+3%)/85%),"No aplica")</f>
        <v>0.41176470588235292</v>
      </c>
      <c r="AJ136" s="147" t="s">
        <v>703</v>
      </c>
      <c r="AK136" s="106" t="s">
        <v>1143</v>
      </c>
      <c r="AL136" s="106" t="s">
        <v>1142</v>
      </c>
    </row>
    <row r="137" spans="1:38" ht="32.25" customHeight="1" x14ac:dyDescent="0.25">
      <c r="A137" s="129"/>
      <c r="B137" s="130"/>
      <c r="C137" s="130"/>
      <c r="D137" s="130"/>
      <c r="E137" s="130"/>
      <c r="F137" s="130"/>
      <c r="G137" s="14" t="s">
        <v>288</v>
      </c>
      <c r="H137" s="15">
        <v>43466</v>
      </c>
      <c r="I137" s="15">
        <v>43555</v>
      </c>
      <c r="J137" s="36" t="s">
        <v>261</v>
      </c>
      <c r="K137" s="119"/>
      <c r="L137" s="102"/>
      <c r="M137" s="117"/>
      <c r="N137" s="102"/>
      <c r="O137" s="102"/>
      <c r="P137" s="101"/>
      <c r="Q137" s="101"/>
      <c r="R137" s="102"/>
      <c r="S137" s="106"/>
      <c r="T137" s="106"/>
      <c r="U137" s="107"/>
      <c r="V137" s="117"/>
      <c r="W137" s="102"/>
      <c r="X137" s="102"/>
      <c r="Y137" s="101"/>
      <c r="Z137" s="101"/>
      <c r="AA137" s="147"/>
      <c r="AB137" s="106"/>
      <c r="AC137" s="106"/>
      <c r="AD137" s="107"/>
      <c r="AE137" s="117"/>
      <c r="AF137" s="102"/>
      <c r="AG137" s="102"/>
      <c r="AH137" s="101"/>
      <c r="AI137" s="101"/>
      <c r="AJ137" s="147"/>
      <c r="AK137" s="106"/>
      <c r="AL137" s="106"/>
    </row>
    <row r="138" spans="1:38" ht="32.25" customHeight="1" x14ac:dyDescent="0.25">
      <c r="A138" s="129"/>
      <c r="B138" s="130"/>
      <c r="C138" s="130"/>
      <c r="D138" s="130"/>
      <c r="E138" s="130"/>
      <c r="F138" s="130"/>
      <c r="G138" s="14" t="s">
        <v>289</v>
      </c>
      <c r="H138" s="15">
        <v>43480</v>
      </c>
      <c r="I138" s="15">
        <v>43830</v>
      </c>
      <c r="J138" s="36" t="s">
        <v>261</v>
      </c>
      <c r="K138" s="119"/>
      <c r="L138" s="102"/>
      <c r="M138" s="117"/>
      <c r="N138" s="102"/>
      <c r="O138" s="102"/>
      <c r="P138" s="101"/>
      <c r="Q138" s="101"/>
      <c r="R138" s="102"/>
      <c r="S138" s="106"/>
      <c r="T138" s="106"/>
      <c r="U138" s="107"/>
      <c r="V138" s="117"/>
      <c r="W138" s="102"/>
      <c r="X138" s="102"/>
      <c r="Y138" s="101"/>
      <c r="Z138" s="101"/>
      <c r="AA138" s="147"/>
      <c r="AB138" s="106"/>
      <c r="AC138" s="106"/>
      <c r="AD138" s="107"/>
      <c r="AE138" s="117"/>
      <c r="AF138" s="102"/>
      <c r="AG138" s="102"/>
      <c r="AH138" s="101"/>
      <c r="AI138" s="101"/>
      <c r="AJ138" s="147"/>
      <c r="AK138" s="106"/>
      <c r="AL138" s="106"/>
    </row>
    <row r="139" spans="1:38" ht="32.25" customHeight="1" x14ac:dyDescent="0.25">
      <c r="A139" s="129"/>
      <c r="B139" s="130"/>
      <c r="C139" s="130"/>
      <c r="D139" s="130"/>
      <c r="E139" s="130"/>
      <c r="F139" s="130"/>
      <c r="G139" s="14" t="s">
        <v>290</v>
      </c>
      <c r="H139" s="15">
        <v>43480</v>
      </c>
      <c r="I139" s="15">
        <v>43830</v>
      </c>
      <c r="J139" s="36" t="s">
        <v>261</v>
      </c>
      <c r="K139" s="119"/>
      <c r="L139" s="102"/>
      <c r="M139" s="117"/>
      <c r="N139" s="102"/>
      <c r="O139" s="102"/>
      <c r="P139" s="101"/>
      <c r="Q139" s="101"/>
      <c r="R139" s="102"/>
      <c r="S139" s="106"/>
      <c r="T139" s="106"/>
      <c r="U139" s="107"/>
      <c r="V139" s="117"/>
      <c r="W139" s="102"/>
      <c r="X139" s="102"/>
      <c r="Y139" s="101"/>
      <c r="Z139" s="101"/>
      <c r="AA139" s="147"/>
      <c r="AB139" s="106"/>
      <c r="AC139" s="106"/>
      <c r="AD139" s="107"/>
      <c r="AE139" s="117"/>
      <c r="AF139" s="102"/>
      <c r="AG139" s="102"/>
      <c r="AH139" s="101"/>
      <c r="AI139" s="101"/>
      <c r="AJ139" s="147"/>
      <c r="AK139" s="106"/>
      <c r="AL139" s="106"/>
    </row>
    <row r="140" spans="1:38" ht="31.5" x14ac:dyDescent="0.25">
      <c r="A140" s="129"/>
      <c r="B140" s="130"/>
      <c r="C140" s="130"/>
      <c r="D140" s="130"/>
      <c r="E140" s="130"/>
      <c r="F140" s="130"/>
      <c r="G140" s="14" t="s">
        <v>291</v>
      </c>
      <c r="H140" s="15">
        <v>43525</v>
      </c>
      <c r="I140" s="15">
        <v>43570</v>
      </c>
      <c r="J140" s="36" t="s">
        <v>261</v>
      </c>
      <c r="K140" s="119"/>
      <c r="L140" s="102"/>
      <c r="M140" s="117"/>
      <c r="N140" s="102"/>
      <c r="O140" s="102"/>
      <c r="P140" s="101"/>
      <c r="Q140" s="101"/>
      <c r="R140" s="102"/>
      <c r="S140" s="106"/>
      <c r="T140" s="106"/>
      <c r="U140" s="107"/>
      <c r="V140" s="117"/>
      <c r="W140" s="102"/>
      <c r="X140" s="102"/>
      <c r="Y140" s="101"/>
      <c r="Z140" s="101"/>
      <c r="AA140" s="147"/>
      <c r="AB140" s="106"/>
      <c r="AC140" s="106"/>
      <c r="AD140" s="107"/>
      <c r="AE140" s="117"/>
      <c r="AF140" s="102"/>
      <c r="AG140" s="102"/>
      <c r="AH140" s="101"/>
      <c r="AI140" s="101"/>
      <c r="AJ140" s="147"/>
      <c r="AK140" s="106"/>
      <c r="AL140" s="106"/>
    </row>
    <row r="141" spans="1:38" ht="36" customHeight="1" x14ac:dyDescent="0.25">
      <c r="A141" s="129"/>
      <c r="B141" s="130"/>
      <c r="C141" s="130"/>
      <c r="D141" s="130"/>
      <c r="E141" s="130"/>
      <c r="F141" s="130"/>
      <c r="G141" s="14" t="s">
        <v>292</v>
      </c>
      <c r="H141" s="15">
        <v>43570</v>
      </c>
      <c r="I141" s="15">
        <v>43830</v>
      </c>
      <c r="J141" s="36" t="s">
        <v>261</v>
      </c>
      <c r="K141" s="119"/>
      <c r="L141" s="102"/>
      <c r="M141" s="117"/>
      <c r="N141" s="102"/>
      <c r="O141" s="102"/>
      <c r="P141" s="101"/>
      <c r="Q141" s="101"/>
      <c r="R141" s="102"/>
      <c r="S141" s="106"/>
      <c r="T141" s="106"/>
      <c r="U141" s="107"/>
      <c r="V141" s="117"/>
      <c r="W141" s="102"/>
      <c r="X141" s="102"/>
      <c r="Y141" s="101"/>
      <c r="Z141" s="101"/>
      <c r="AA141" s="147"/>
      <c r="AB141" s="106"/>
      <c r="AC141" s="106"/>
      <c r="AD141" s="107"/>
      <c r="AE141" s="117"/>
      <c r="AF141" s="102"/>
      <c r="AG141" s="102"/>
      <c r="AH141" s="101"/>
      <c r="AI141" s="101"/>
      <c r="AJ141" s="147"/>
      <c r="AK141" s="106"/>
      <c r="AL141" s="106"/>
    </row>
    <row r="142" spans="1:38" ht="47.25" customHeight="1" x14ac:dyDescent="0.25">
      <c r="A142" s="129"/>
      <c r="B142" s="130"/>
      <c r="C142" s="130"/>
      <c r="D142" s="130"/>
      <c r="E142" s="130"/>
      <c r="F142" s="130"/>
      <c r="G142" s="14" t="s">
        <v>293</v>
      </c>
      <c r="H142" s="15">
        <v>43525</v>
      </c>
      <c r="I142" s="15">
        <v>43830</v>
      </c>
      <c r="J142" s="36" t="s">
        <v>261</v>
      </c>
      <c r="K142" s="119"/>
      <c r="L142" s="102"/>
      <c r="M142" s="117"/>
      <c r="N142" s="102"/>
      <c r="O142" s="102"/>
      <c r="P142" s="101"/>
      <c r="Q142" s="101"/>
      <c r="R142" s="102"/>
      <c r="S142" s="106"/>
      <c r="T142" s="106"/>
      <c r="U142" s="107"/>
      <c r="V142" s="117"/>
      <c r="W142" s="102"/>
      <c r="X142" s="102"/>
      <c r="Y142" s="101"/>
      <c r="Z142" s="101"/>
      <c r="AA142" s="147"/>
      <c r="AB142" s="106"/>
      <c r="AC142" s="106"/>
      <c r="AD142" s="107"/>
      <c r="AE142" s="117"/>
      <c r="AF142" s="102"/>
      <c r="AG142" s="102"/>
      <c r="AH142" s="101"/>
      <c r="AI142" s="101"/>
      <c r="AJ142" s="147"/>
      <c r="AK142" s="106"/>
      <c r="AL142" s="106"/>
    </row>
    <row r="143" spans="1:38" ht="44.25" customHeight="1" x14ac:dyDescent="0.25">
      <c r="A143" s="117" t="s">
        <v>52</v>
      </c>
      <c r="B143" s="102" t="s">
        <v>283</v>
      </c>
      <c r="C143" s="102">
        <v>27</v>
      </c>
      <c r="D143" s="102" t="s">
        <v>294</v>
      </c>
      <c r="E143" s="102">
        <v>0</v>
      </c>
      <c r="F143" s="102" t="s">
        <v>295</v>
      </c>
      <c r="G143" s="81" t="s">
        <v>296</v>
      </c>
      <c r="H143" s="12">
        <v>43617</v>
      </c>
      <c r="I143" s="12">
        <v>43644</v>
      </c>
      <c r="J143" s="51" t="s">
        <v>261</v>
      </c>
      <c r="K143" s="119" t="s">
        <v>297</v>
      </c>
      <c r="L143" s="102" t="s">
        <v>195</v>
      </c>
      <c r="M143" s="117" t="s">
        <v>298</v>
      </c>
      <c r="N143" s="102" t="s">
        <v>1141</v>
      </c>
      <c r="O143" s="102" t="s">
        <v>1141</v>
      </c>
      <c r="P143" s="101" t="str">
        <f>IFERROR((0%/0%),"No aplica")</f>
        <v>No aplica</v>
      </c>
      <c r="Q143" s="101">
        <f>IFERROR((0%/50%),"No aplica")</f>
        <v>0</v>
      </c>
      <c r="R143" s="102" t="s">
        <v>697</v>
      </c>
      <c r="S143" s="106" t="s">
        <v>700</v>
      </c>
      <c r="T143" s="106" t="s">
        <v>75</v>
      </c>
      <c r="U143" s="107" t="s">
        <v>1140</v>
      </c>
      <c r="V143" s="117" t="s">
        <v>298</v>
      </c>
      <c r="W143" s="102" t="s">
        <v>1136</v>
      </c>
      <c r="X143" s="102" t="s">
        <v>1136</v>
      </c>
      <c r="Y143" s="114">
        <f>IFERROR((14%/14%),"No aplica")</f>
        <v>1</v>
      </c>
      <c r="Z143" s="114">
        <f>IFERROR((14%/50%),"No aplica")</f>
        <v>0.28000000000000003</v>
      </c>
      <c r="AA143" s="102" t="s">
        <v>692</v>
      </c>
      <c r="AB143" s="106" t="s">
        <v>1139</v>
      </c>
      <c r="AC143" s="106" t="s">
        <v>1138</v>
      </c>
      <c r="AD143" s="107" t="s">
        <v>1137</v>
      </c>
      <c r="AE143" s="117" t="s">
        <v>298</v>
      </c>
      <c r="AF143" s="102" t="s">
        <v>1136</v>
      </c>
      <c r="AG143" s="102" t="s">
        <v>1136</v>
      </c>
      <c r="AH143" s="114">
        <f>IFERROR((14%/14%),"No aplica")</f>
        <v>1</v>
      </c>
      <c r="AI143" s="114">
        <f>IFERROR((14%/50%),"No aplica")</f>
        <v>0.28000000000000003</v>
      </c>
      <c r="AJ143" s="102" t="s">
        <v>692</v>
      </c>
      <c r="AK143" s="106" t="s">
        <v>1135</v>
      </c>
      <c r="AL143" s="106" t="s">
        <v>1134</v>
      </c>
    </row>
    <row r="144" spans="1:38" ht="44.25" customHeight="1" x14ac:dyDescent="0.25">
      <c r="A144" s="117"/>
      <c r="B144" s="102"/>
      <c r="C144" s="102"/>
      <c r="D144" s="102"/>
      <c r="E144" s="102"/>
      <c r="F144" s="102"/>
      <c r="G144" s="81" t="s">
        <v>299</v>
      </c>
      <c r="H144" s="12">
        <v>43642</v>
      </c>
      <c r="I144" s="12">
        <v>43769</v>
      </c>
      <c r="J144" s="51" t="s">
        <v>261</v>
      </c>
      <c r="K144" s="119"/>
      <c r="L144" s="102"/>
      <c r="M144" s="117"/>
      <c r="N144" s="102"/>
      <c r="O144" s="102"/>
      <c r="P144" s="101"/>
      <c r="Q144" s="101"/>
      <c r="R144" s="102"/>
      <c r="S144" s="106"/>
      <c r="T144" s="106"/>
      <c r="U144" s="107"/>
      <c r="V144" s="117"/>
      <c r="W144" s="102"/>
      <c r="X144" s="102"/>
      <c r="Y144" s="115"/>
      <c r="Z144" s="115"/>
      <c r="AA144" s="102"/>
      <c r="AB144" s="106"/>
      <c r="AC144" s="106"/>
      <c r="AD144" s="107"/>
      <c r="AE144" s="117"/>
      <c r="AF144" s="102"/>
      <c r="AG144" s="102"/>
      <c r="AH144" s="115"/>
      <c r="AI144" s="115"/>
      <c r="AJ144" s="102"/>
      <c r="AK144" s="106"/>
      <c r="AL144" s="106"/>
    </row>
    <row r="145" spans="1:38" ht="44.25" customHeight="1" x14ac:dyDescent="0.25">
      <c r="A145" s="117"/>
      <c r="B145" s="102"/>
      <c r="C145" s="102"/>
      <c r="D145" s="102"/>
      <c r="E145" s="102"/>
      <c r="F145" s="102"/>
      <c r="G145" s="81" t="s">
        <v>300</v>
      </c>
      <c r="H145" s="12">
        <v>43770</v>
      </c>
      <c r="I145" s="12">
        <v>43830</v>
      </c>
      <c r="J145" s="51" t="s">
        <v>261</v>
      </c>
      <c r="K145" s="119"/>
      <c r="L145" s="102"/>
      <c r="M145" s="117"/>
      <c r="N145" s="102"/>
      <c r="O145" s="102"/>
      <c r="P145" s="101"/>
      <c r="Q145" s="101"/>
      <c r="R145" s="102"/>
      <c r="S145" s="106"/>
      <c r="T145" s="106"/>
      <c r="U145" s="107"/>
      <c r="V145" s="117"/>
      <c r="W145" s="102"/>
      <c r="X145" s="102"/>
      <c r="Y145" s="116"/>
      <c r="Z145" s="116"/>
      <c r="AA145" s="102"/>
      <c r="AB145" s="106"/>
      <c r="AC145" s="106"/>
      <c r="AD145" s="107"/>
      <c r="AE145" s="117"/>
      <c r="AF145" s="102"/>
      <c r="AG145" s="102"/>
      <c r="AH145" s="116"/>
      <c r="AI145" s="116"/>
      <c r="AJ145" s="102"/>
      <c r="AK145" s="106"/>
      <c r="AL145" s="106"/>
    </row>
    <row r="146" spans="1:38" ht="51" customHeight="1" x14ac:dyDescent="0.25">
      <c r="A146" s="117" t="s">
        <v>52</v>
      </c>
      <c r="B146" s="102" t="s">
        <v>301</v>
      </c>
      <c r="C146" s="102">
        <v>28</v>
      </c>
      <c r="D146" s="102" t="s">
        <v>302</v>
      </c>
      <c r="E146" s="102">
        <v>0</v>
      </c>
      <c r="F146" s="102" t="s">
        <v>303</v>
      </c>
      <c r="G146" s="81" t="s">
        <v>304</v>
      </c>
      <c r="H146" s="12">
        <v>43480</v>
      </c>
      <c r="I146" s="12">
        <v>43495</v>
      </c>
      <c r="J146" s="51" t="s">
        <v>261</v>
      </c>
      <c r="K146" s="119" t="s">
        <v>297</v>
      </c>
      <c r="L146" s="102" t="s">
        <v>195</v>
      </c>
      <c r="M146" s="117" t="s">
        <v>305</v>
      </c>
      <c r="N146" s="102" t="s">
        <v>1133</v>
      </c>
      <c r="O146" s="102" t="s">
        <v>1133</v>
      </c>
      <c r="P146" s="101" t="str">
        <f>IFERROR((0/0),"No aplica")</f>
        <v>No aplica</v>
      </c>
      <c r="Q146" s="101">
        <f>IFERROR((0/1),"No aplica")</f>
        <v>0</v>
      </c>
      <c r="R146" s="102" t="s">
        <v>697</v>
      </c>
      <c r="S146" s="106" t="s">
        <v>700</v>
      </c>
      <c r="T146" s="106" t="s">
        <v>75</v>
      </c>
      <c r="U146" s="107" t="s">
        <v>1132</v>
      </c>
      <c r="V146" s="117" t="s">
        <v>305</v>
      </c>
      <c r="W146" s="102" t="s">
        <v>1128</v>
      </c>
      <c r="X146" s="102" t="s">
        <v>1128</v>
      </c>
      <c r="Y146" s="114">
        <f>IFERROR((1/1),"No aplica")</f>
        <v>1</v>
      </c>
      <c r="Z146" s="101">
        <f>IFERROR((1/1),"No aplica")</f>
        <v>1</v>
      </c>
      <c r="AA146" s="102" t="s">
        <v>692</v>
      </c>
      <c r="AB146" s="106" t="s">
        <v>1131</v>
      </c>
      <c r="AC146" s="106" t="s">
        <v>1130</v>
      </c>
      <c r="AD146" s="107" t="s">
        <v>1129</v>
      </c>
      <c r="AE146" s="117" t="s">
        <v>305</v>
      </c>
      <c r="AF146" s="102" t="s">
        <v>1128</v>
      </c>
      <c r="AG146" s="102" t="s">
        <v>1128</v>
      </c>
      <c r="AH146" s="114">
        <f>IFERROR((1/1),"No aplica")</f>
        <v>1</v>
      </c>
      <c r="AI146" s="101">
        <f>IFERROR((1/1),"No aplica")</f>
        <v>1</v>
      </c>
      <c r="AJ146" s="102" t="s">
        <v>692</v>
      </c>
      <c r="AK146" s="106"/>
      <c r="AL146" s="106"/>
    </row>
    <row r="147" spans="1:38" ht="35.25" customHeight="1" x14ac:dyDescent="0.25">
      <c r="A147" s="117"/>
      <c r="B147" s="102"/>
      <c r="C147" s="102"/>
      <c r="D147" s="102"/>
      <c r="E147" s="102"/>
      <c r="F147" s="102"/>
      <c r="G147" s="81" t="s">
        <v>306</v>
      </c>
      <c r="H147" s="12">
        <v>43497</v>
      </c>
      <c r="I147" s="12">
        <v>43646</v>
      </c>
      <c r="J147" s="51" t="s">
        <v>261</v>
      </c>
      <c r="K147" s="119"/>
      <c r="L147" s="102"/>
      <c r="M147" s="117"/>
      <c r="N147" s="102"/>
      <c r="O147" s="102"/>
      <c r="P147" s="101"/>
      <c r="Q147" s="101"/>
      <c r="R147" s="102"/>
      <c r="S147" s="106"/>
      <c r="T147" s="106"/>
      <c r="U147" s="107"/>
      <c r="V147" s="117"/>
      <c r="W147" s="102"/>
      <c r="X147" s="102"/>
      <c r="Y147" s="115"/>
      <c r="Z147" s="101"/>
      <c r="AA147" s="102"/>
      <c r="AB147" s="106"/>
      <c r="AC147" s="106"/>
      <c r="AD147" s="107"/>
      <c r="AE147" s="117"/>
      <c r="AF147" s="102"/>
      <c r="AG147" s="102"/>
      <c r="AH147" s="115"/>
      <c r="AI147" s="101"/>
      <c r="AJ147" s="102"/>
      <c r="AK147" s="106"/>
      <c r="AL147" s="106"/>
    </row>
    <row r="148" spans="1:38" ht="47.25" x14ac:dyDescent="0.25">
      <c r="A148" s="117"/>
      <c r="B148" s="102"/>
      <c r="C148" s="102"/>
      <c r="D148" s="102"/>
      <c r="E148" s="102"/>
      <c r="F148" s="102"/>
      <c r="G148" s="81" t="s">
        <v>307</v>
      </c>
      <c r="H148" s="12">
        <v>43617</v>
      </c>
      <c r="I148" s="12">
        <v>43646</v>
      </c>
      <c r="J148" s="51" t="s">
        <v>261</v>
      </c>
      <c r="K148" s="119"/>
      <c r="L148" s="102"/>
      <c r="M148" s="117"/>
      <c r="N148" s="102"/>
      <c r="O148" s="102"/>
      <c r="P148" s="101"/>
      <c r="Q148" s="101"/>
      <c r="R148" s="102"/>
      <c r="S148" s="106"/>
      <c r="T148" s="106"/>
      <c r="U148" s="107"/>
      <c r="V148" s="117"/>
      <c r="W148" s="102"/>
      <c r="X148" s="102"/>
      <c r="Y148" s="116"/>
      <c r="Z148" s="101"/>
      <c r="AA148" s="102"/>
      <c r="AB148" s="106"/>
      <c r="AC148" s="106"/>
      <c r="AD148" s="107"/>
      <c r="AE148" s="117"/>
      <c r="AF148" s="102"/>
      <c r="AG148" s="102"/>
      <c r="AH148" s="116"/>
      <c r="AI148" s="101"/>
      <c r="AJ148" s="102"/>
      <c r="AK148" s="106"/>
      <c r="AL148" s="106"/>
    </row>
    <row r="149" spans="1:38" ht="84" customHeight="1" x14ac:dyDescent="0.25">
      <c r="A149" s="117" t="s">
        <v>52</v>
      </c>
      <c r="B149" s="102" t="s">
        <v>308</v>
      </c>
      <c r="C149" s="102">
        <v>29</v>
      </c>
      <c r="D149" s="102" t="s">
        <v>309</v>
      </c>
      <c r="E149" s="102">
        <v>0</v>
      </c>
      <c r="F149" s="102" t="s">
        <v>310</v>
      </c>
      <c r="G149" s="81" t="s">
        <v>311</v>
      </c>
      <c r="H149" s="12">
        <v>43556</v>
      </c>
      <c r="I149" s="12">
        <v>43600</v>
      </c>
      <c r="J149" s="51" t="s">
        <v>261</v>
      </c>
      <c r="K149" s="119" t="s">
        <v>270</v>
      </c>
      <c r="L149" s="102" t="s">
        <v>195</v>
      </c>
      <c r="M149" s="117" t="s">
        <v>312</v>
      </c>
      <c r="N149" s="102" t="s">
        <v>1125</v>
      </c>
      <c r="O149" s="102" t="s">
        <v>1125</v>
      </c>
      <c r="P149" s="101" t="str">
        <f>IFERROR((0/0),"No aplica")</f>
        <v>No aplica</v>
      </c>
      <c r="Q149" s="101" t="str">
        <f>IFERROR((0/0),"No aplica")</f>
        <v>No aplica</v>
      </c>
      <c r="R149" s="102" t="s">
        <v>697</v>
      </c>
      <c r="S149" s="106" t="s">
        <v>700</v>
      </c>
      <c r="T149" s="106" t="s">
        <v>75</v>
      </c>
      <c r="U149" s="107" t="s">
        <v>1127</v>
      </c>
      <c r="V149" s="117" t="s">
        <v>312</v>
      </c>
      <c r="W149" s="102" t="s">
        <v>1126</v>
      </c>
      <c r="X149" s="102" t="s">
        <v>1125</v>
      </c>
      <c r="Y149" s="101">
        <f>IFERROR((0/40),"No aplica")</f>
        <v>0</v>
      </c>
      <c r="Z149" s="101">
        <f>IFERROR((0/100),"No aplica")</f>
        <v>0</v>
      </c>
      <c r="AA149" s="102" t="s">
        <v>703</v>
      </c>
      <c r="AB149" s="106" t="s">
        <v>1124</v>
      </c>
      <c r="AC149" s="137" t="s">
        <v>1124</v>
      </c>
      <c r="AD149" s="107" t="s">
        <v>1123</v>
      </c>
      <c r="AE149" s="117" t="s">
        <v>312</v>
      </c>
      <c r="AF149" s="102" t="s">
        <v>1122</v>
      </c>
      <c r="AG149" s="102" t="s">
        <v>1121</v>
      </c>
      <c r="AH149" s="101">
        <f>IFERROR((80/60),"No aplica")</f>
        <v>1.3333333333333333</v>
      </c>
      <c r="AI149" s="101">
        <f>IFERROR((80%/100%),"No aplica")</f>
        <v>0.8</v>
      </c>
      <c r="AJ149" s="102" t="s">
        <v>713</v>
      </c>
      <c r="AK149" s="106" t="s">
        <v>1120</v>
      </c>
      <c r="AL149" s="137" t="s">
        <v>1119</v>
      </c>
    </row>
    <row r="150" spans="1:38" ht="92.25" customHeight="1" x14ac:dyDescent="0.25">
      <c r="A150" s="117"/>
      <c r="B150" s="102"/>
      <c r="C150" s="102"/>
      <c r="D150" s="102"/>
      <c r="E150" s="102"/>
      <c r="F150" s="102"/>
      <c r="G150" s="81" t="s">
        <v>313</v>
      </c>
      <c r="H150" s="12">
        <v>43601</v>
      </c>
      <c r="I150" s="12">
        <v>43830</v>
      </c>
      <c r="J150" s="51" t="s">
        <v>261</v>
      </c>
      <c r="K150" s="119"/>
      <c r="L150" s="102"/>
      <c r="M150" s="117"/>
      <c r="N150" s="102"/>
      <c r="O150" s="102"/>
      <c r="P150" s="101"/>
      <c r="Q150" s="101"/>
      <c r="R150" s="102"/>
      <c r="S150" s="106"/>
      <c r="T150" s="106"/>
      <c r="U150" s="107"/>
      <c r="V150" s="117"/>
      <c r="W150" s="102"/>
      <c r="X150" s="102"/>
      <c r="Y150" s="101"/>
      <c r="Z150" s="101"/>
      <c r="AA150" s="102"/>
      <c r="AB150" s="106"/>
      <c r="AC150" s="139"/>
      <c r="AD150" s="107"/>
      <c r="AE150" s="117"/>
      <c r="AF150" s="102"/>
      <c r="AG150" s="102"/>
      <c r="AH150" s="101"/>
      <c r="AI150" s="101"/>
      <c r="AJ150" s="102"/>
      <c r="AK150" s="106"/>
      <c r="AL150" s="139"/>
    </row>
    <row r="151" spans="1:38" ht="67.5" customHeight="1" x14ac:dyDescent="0.25">
      <c r="A151" s="117" t="s">
        <v>52</v>
      </c>
      <c r="B151" s="102" t="s">
        <v>308</v>
      </c>
      <c r="C151" s="102">
        <v>30</v>
      </c>
      <c r="D151" s="102" t="s">
        <v>314</v>
      </c>
      <c r="E151" s="148">
        <v>0</v>
      </c>
      <c r="F151" s="102" t="s">
        <v>315</v>
      </c>
      <c r="G151" s="81" t="s">
        <v>316</v>
      </c>
      <c r="H151" s="12">
        <v>43586</v>
      </c>
      <c r="I151" s="12">
        <v>43708</v>
      </c>
      <c r="J151" s="51" t="s">
        <v>261</v>
      </c>
      <c r="K151" s="119" t="s">
        <v>270</v>
      </c>
      <c r="L151" s="102" t="s">
        <v>195</v>
      </c>
      <c r="M151" s="117" t="s">
        <v>317</v>
      </c>
      <c r="N151" s="102" t="s">
        <v>1118</v>
      </c>
      <c r="O151" s="102" t="s">
        <v>1118</v>
      </c>
      <c r="P151" s="101" t="str">
        <f>IFERROR((0%/0%),"No aplica")</f>
        <v>No aplica</v>
      </c>
      <c r="Q151" s="101">
        <f>IFERROR((0%/88%),"No aplica")</f>
        <v>0</v>
      </c>
      <c r="R151" s="102" t="s">
        <v>697</v>
      </c>
      <c r="S151" s="106" t="s">
        <v>700</v>
      </c>
      <c r="T151" s="106" t="s">
        <v>75</v>
      </c>
      <c r="U151" s="107" t="s">
        <v>1117</v>
      </c>
      <c r="V151" s="117" t="s">
        <v>1112</v>
      </c>
      <c r="W151" s="102" t="s">
        <v>1116</v>
      </c>
      <c r="X151" s="102" t="s">
        <v>1116</v>
      </c>
      <c r="Y151" s="101" t="str">
        <f>IFERROR((0%/0%),"No aplica")</f>
        <v>No aplica</v>
      </c>
      <c r="Z151" s="101">
        <f>IFERROR((0%/88%),"No aplica")</f>
        <v>0</v>
      </c>
      <c r="AA151" s="102" t="s">
        <v>697</v>
      </c>
      <c r="AB151" s="106" t="s">
        <v>1115</v>
      </c>
      <c r="AC151" s="106" t="s">
        <v>1114</v>
      </c>
      <c r="AD151" s="107" t="s">
        <v>1113</v>
      </c>
      <c r="AE151" s="117" t="s">
        <v>1112</v>
      </c>
      <c r="AF151" s="102" t="s">
        <v>1111</v>
      </c>
      <c r="AG151" s="102" t="s">
        <v>1111</v>
      </c>
      <c r="AH151" s="101">
        <f>IFERROR((50%/50%),"No aplica")</f>
        <v>1</v>
      </c>
      <c r="AI151" s="101">
        <f>IFERROR((50%/88%),"No aplica")</f>
        <v>0.56818181818181823</v>
      </c>
      <c r="AJ151" s="102" t="s">
        <v>692</v>
      </c>
      <c r="AK151" s="106" t="s">
        <v>1110</v>
      </c>
      <c r="AL151" s="106" t="s">
        <v>1109</v>
      </c>
    </row>
    <row r="152" spans="1:38" ht="67.5" customHeight="1" x14ac:dyDescent="0.25">
      <c r="A152" s="117"/>
      <c r="B152" s="102"/>
      <c r="C152" s="102"/>
      <c r="D152" s="102"/>
      <c r="E152" s="148"/>
      <c r="F152" s="102"/>
      <c r="G152" s="81" t="s">
        <v>318</v>
      </c>
      <c r="H152" s="12">
        <v>43617</v>
      </c>
      <c r="I152" s="12">
        <v>43830</v>
      </c>
      <c r="J152" s="51" t="s">
        <v>261</v>
      </c>
      <c r="K152" s="119"/>
      <c r="L152" s="102"/>
      <c r="M152" s="117"/>
      <c r="N152" s="102"/>
      <c r="O152" s="102"/>
      <c r="P152" s="101"/>
      <c r="Q152" s="101"/>
      <c r="R152" s="102"/>
      <c r="S152" s="106"/>
      <c r="T152" s="106"/>
      <c r="U152" s="107"/>
      <c r="V152" s="117"/>
      <c r="W152" s="102"/>
      <c r="X152" s="102"/>
      <c r="Y152" s="101"/>
      <c r="Z152" s="101"/>
      <c r="AA152" s="102"/>
      <c r="AB152" s="106"/>
      <c r="AC152" s="106"/>
      <c r="AD152" s="107"/>
      <c r="AE152" s="117"/>
      <c r="AF152" s="102"/>
      <c r="AG152" s="102"/>
      <c r="AH152" s="101"/>
      <c r="AI152" s="101"/>
      <c r="AJ152" s="102"/>
      <c r="AK152" s="106"/>
      <c r="AL152" s="106"/>
    </row>
    <row r="153" spans="1:38" x14ac:dyDescent="0.25">
      <c r="A153" s="38" t="s">
        <v>51</v>
      </c>
      <c r="B153" s="39" t="s">
        <v>51</v>
      </c>
      <c r="C153" s="39"/>
      <c r="D153" s="39" t="s">
        <v>51</v>
      </c>
      <c r="E153" s="39" t="s">
        <v>51</v>
      </c>
      <c r="F153" s="39" t="s">
        <v>51</v>
      </c>
      <c r="G153" s="44" t="s">
        <v>51</v>
      </c>
      <c r="H153" s="39" t="s">
        <v>51</v>
      </c>
      <c r="I153" s="39" t="s">
        <v>51</v>
      </c>
      <c r="J153" s="43" t="s">
        <v>51</v>
      </c>
      <c r="K153" s="42" t="s">
        <v>51</v>
      </c>
      <c r="L153" s="39" t="s">
        <v>51</v>
      </c>
      <c r="M153" s="38" t="s">
        <v>51</v>
      </c>
      <c r="N153" s="39"/>
      <c r="O153" s="39"/>
      <c r="P153" s="41"/>
      <c r="Q153" s="41"/>
      <c r="R153" s="39"/>
      <c r="S153" s="37"/>
      <c r="T153" s="37"/>
      <c r="U153" s="40"/>
      <c r="V153" s="38" t="s">
        <v>51</v>
      </c>
      <c r="W153" s="39"/>
      <c r="X153" s="39"/>
      <c r="Y153" s="39"/>
      <c r="Z153" s="39"/>
      <c r="AA153" s="38" t="s">
        <v>51</v>
      </c>
      <c r="AB153" s="37"/>
      <c r="AC153" s="37"/>
      <c r="AD153" s="40"/>
      <c r="AE153" s="38" t="s">
        <v>51</v>
      </c>
      <c r="AF153" s="39"/>
      <c r="AG153" s="39"/>
      <c r="AH153" s="39"/>
      <c r="AI153" s="39"/>
      <c r="AJ153" s="38" t="s">
        <v>51</v>
      </c>
      <c r="AK153" s="37"/>
      <c r="AL153" s="37"/>
    </row>
    <row r="154" spans="1:38" ht="36.75" customHeight="1" x14ac:dyDescent="0.25">
      <c r="A154" s="117" t="s">
        <v>14</v>
      </c>
      <c r="B154" s="102" t="s">
        <v>319</v>
      </c>
      <c r="C154" s="102">
        <v>31</v>
      </c>
      <c r="D154" s="102" t="s">
        <v>320</v>
      </c>
      <c r="E154" s="102">
        <v>0</v>
      </c>
      <c r="F154" s="102" t="s">
        <v>321</v>
      </c>
      <c r="G154" s="19" t="s">
        <v>322</v>
      </c>
      <c r="H154" s="12">
        <v>43525</v>
      </c>
      <c r="I154" s="12">
        <v>43554</v>
      </c>
      <c r="J154" s="51" t="s">
        <v>261</v>
      </c>
      <c r="K154" s="119" t="s">
        <v>270</v>
      </c>
      <c r="L154" s="102" t="s">
        <v>195</v>
      </c>
      <c r="M154" s="117" t="s">
        <v>323</v>
      </c>
      <c r="N154" s="102" t="s">
        <v>1106</v>
      </c>
      <c r="O154" s="102" t="s">
        <v>1106</v>
      </c>
      <c r="P154" s="101" t="str">
        <f>IFERROR((0/0),"No aplica")</f>
        <v>No aplica</v>
      </c>
      <c r="Q154" s="101">
        <f>IFERROR((0/1),"No aplica")</f>
        <v>0</v>
      </c>
      <c r="R154" s="102" t="s">
        <v>697</v>
      </c>
      <c r="S154" s="106" t="s">
        <v>700</v>
      </c>
      <c r="T154" s="106" t="s">
        <v>75</v>
      </c>
      <c r="U154" s="107" t="s">
        <v>1108</v>
      </c>
      <c r="V154" s="117" t="s">
        <v>1107</v>
      </c>
      <c r="W154" s="102" t="s">
        <v>1106</v>
      </c>
      <c r="X154" s="102" t="s">
        <v>1106</v>
      </c>
      <c r="Y154" s="101" t="str">
        <f>IFERROR((0/0),"No aplica")</f>
        <v>No aplica</v>
      </c>
      <c r="Z154" s="101">
        <f>IFERROR((0/17),"No aplica")</f>
        <v>0</v>
      </c>
      <c r="AA154" s="102" t="s">
        <v>697</v>
      </c>
      <c r="AB154" s="106" t="s">
        <v>1105</v>
      </c>
      <c r="AC154" s="106" t="s">
        <v>1104</v>
      </c>
      <c r="AD154" s="107" t="s">
        <v>1103</v>
      </c>
      <c r="AE154" s="117" t="s">
        <v>1102</v>
      </c>
      <c r="AF154" s="102" t="s">
        <v>1101</v>
      </c>
      <c r="AG154" s="102" t="s">
        <v>1101</v>
      </c>
      <c r="AH154" s="101">
        <f>IFERROR((10/10),"No aplica")</f>
        <v>1</v>
      </c>
      <c r="AI154" s="101">
        <f>IFERROR((10/17),"No aplica")</f>
        <v>0.58823529411764708</v>
      </c>
      <c r="AJ154" s="102" t="s">
        <v>692</v>
      </c>
      <c r="AK154" s="106" t="s">
        <v>1100</v>
      </c>
      <c r="AL154" s="106" t="s">
        <v>1099</v>
      </c>
    </row>
    <row r="155" spans="1:38" ht="36.75" customHeight="1" x14ac:dyDescent="0.25">
      <c r="A155" s="117"/>
      <c r="B155" s="102"/>
      <c r="C155" s="102"/>
      <c r="D155" s="102"/>
      <c r="E155" s="102"/>
      <c r="F155" s="102"/>
      <c r="G155" s="81" t="s">
        <v>324</v>
      </c>
      <c r="H155" s="12">
        <v>43570</v>
      </c>
      <c r="I155" s="12">
        <v>43738</v>
      </c>
      <c r="J155" s="51" t="s">
        <v>261</v>
      </c>
      <c r="K155" s="119"/>
      <c r="L155" s="102"/>
      <c r="M155" s="117"/>
      <c r="N155" s="102"/>
      <c r="O155" s="102"/>
      <c r="P155" s="101"/>
      <c r="Q155" s="101"/>
      <c r="R155" s="102"/>
      <c r="S155" s="106"/>
      <c r="T155" s="106"/>
      <c r="U155" s="107"/>
      <c r="V155" s="117"/>
      <c r="W155" s="102"/>
      <c r="X155" s="102"/>
      <c r="Y155" s="101"/>
      <c r="Z155" s="101"/>
      <c r="AA155" s="102"/>
      <c r="AB155" s="106"/>
      <c r="AC155" s="106"/>
      <c r="AD155" s="107"/>
      <c r="AE155" s="117"/>
      <c r="AF155" s="102"/>
      <c r="AG155" s="102"/>
      <c r="AH155" s="101"/>
      <c r="AI155" s="101"/>
      <c r="AJ155" s="102"/>
      <c r="AK155" s="106"/>
      <c r="AL155" s="106"/>
    </row>
    <row r="156" spans="1:38" ht="36.75" customHeight="1" x14ac:dyDescent="0.25">
      <c r="A156" s="117"/>
      <c r="B156" s="102"/>
      <c r="C156" s="102"/>
      <c r="D156" s="102"/>
      <c r="E156" s="102"/>
      <c r="F156" s="102"/>
      <c r="G156" s="81" t="s">
        <v>325</v>
      </c>
      <c r="H156" s="12">
        <v>43739</v>
      </c>
      <c r="I156" s="12">
        <v>43830</v>
      </c>
      <c r="J156" s="51" t="s">
        <v>326</v>
      </c>
      <c r="K156" s="119"/>
      <c r="L156" s="102"/>
      <c r="M156" s="117"/>
      <c r="N156" s="102"/>
      <c r="O156" s="102"/>
      <c r="P156" s="101"/>
      <c r="Q156" s="101"/>
      <c r="R156" s="102"/>
      <c r="S156" s="106"/>
      <c r="T156" s="106"/>
      <c r="U156" s="107"/>
      <c r="V156" s="117"/>
      <c r="W156" s="102"/>
      <c r="X156" s="102"/>
      <c r="Y156" s="101"/>
      <c r="Z156" s="101"/>
      <c r="AA156" s="102"/>
      <c r="AB156" s="106"/>
      <c r="AC156" s="106"/>
      <c r="AD156" s="107"/>
      <c r="AE156" s="117"/>
      <c r="AF156" s="102"/>
      <c r="AG156" s="102"/>
      <c r="AH156" s="101"/>
      <c r="AI156" s="101"/>
      <c r="AJ156" s="102"/>
      <c r="AK156" s="106"/>
      <c r="AL156" s="106"/>
    </row>
    <row r="157" spans="1:38" ht="96" customHeight="1" x14ac:dyDescent="0.25">
      <c r="A157" s="117" t="s">
        <v>14</v>
      </c>
      <c r="B157" s="102" t="s">
        <v>319</v>
      </c>
      <c r="C157" s="102">
        <v>32</v>
      </c>
      <c r="D157" s="102" t="s">
        <v>327</v>
      </c>
      <c r="E157" s="102">
        <v>0</v>
      </c>
      <c r="F157" s="102" t="s">
        <v>328</v>
      </c>
      <c r="G157" s="81" t="s">
        <v>329</v>
      </c>
      <c r="H157" s="12">
        <v>43620</v>
      </c>
      <c r="I157" s="12">
        <v>43600</v>
      </c>
      <c r="J157" s="51" t="s">
        <v>326</v>
      </c>
      <c r="K157" s="119" t="s">
        <v>330</v>
      </c>
      <c r="L157" s="102" t="s">
        <v>195</v>
      </c>
      <c r="M157" s="117" t="s">
        <v>331</v>
      </c>
      <c r="N157" s="102" t="s">
        <v>1098</v>
      </c>
      <c r="O157" s="102" t="s">
        <v>1098</v>
      </c>
      <c r="P157" s="101" t="str">
        <f>IFERROR((0/0),"No aplica")</f>
        <v>No aplica</v>
      </c>
      <c r="Q157" s="101">
        <f>IFERROR((0/81),"No aplica")</f>
        <v>0</v>
      </c>
      <c r="R157" s="102" t="s">
        <v>697</v>
      </c>
      <c r="S157" s="106" t="s">
        <v>700</v>
      </c>
      <c r="T157" s="106" t="s">
        <v>75</v>
      </c>
      <c r="U157" s="107" t="s">
        <v>1097</v>
      </c>
      <c r="V157" s="117" t="s">
        <v>331</v>
      </c>
      <c r="W157" s="102" t="s">
        <v>1096</v>
      </c>
      <c r="X157" s="102" t="s">
        <v>1095</v>
      </c>
      <c r="Y157" s="101">
        <f>IFERROR((50/10),"No aplica")</f>
        <v>5</v>
      </c>
      <c r="Z157" s="101">
        <f>IFERROR((50/81),"No aplica")</f>
        <v>0.61728395061728392</v>
      </c>
      <c r="AA157" s="102" t="s">
        <v>803</v>
      </c>
      <c r="AB157" s="106" t="s">
        <v>1094</v>
      </c>
      <c r="AC157" s="106" t="s">
        <v>1093</v>
      </c>
      <c r="AD157" s="107" t="s">
        <v>1092</v>
      </c>
      <c r="AE157" s="117" t="s">
        <v>331</v>
      </c>
      <c r="AF157" s="102" t="s">
        <v>1091</v>
      </c>
      <c r="AG157" s="102" t="s">
        <v>1090</v>
      </c>
      <c r="AH157" s="101">
        <f>IFERROR((111/37),"No aplica")</f>
        <v>3</v>
      </c>
      <c r="AI157" s="101">
        <f>IFERROR(((50+111)/81),"No aplica")</f>
        <v>1.9876543209876543</v>
      </c>
      <c r="AJ157" s="102" t="s">
        <v>803</v>
      </c>
      <c r="AK157" s="106" t="s">
        <v>1089</v>
      </c>
      <c r="AL157" s="106" t="s">
        <v>1088</v>
      </c>
    </row>
    <row r="158" spans="1:38" ht="96" customHeight="1" x14ac:dyDescent="0.25">
      <c r="A158" s="117"/>
      <c r="B158" s="102"/>
      <c r="C158" s="102"/>
      <c r="D158" s="102"/>
      <c r="E158" s="102"/>
      <c r="F158" s="102"/>
      <c r="G158" s="81" t="s">
        <v>332</v>
      </c>
      <c r="H158" s="12">
        <v>43620</v>
      </c>
      <c r="I158" s="12">
        <v>43799</v>
      </c>
      <c r="J158" s="51" t="s">
        <v>326</v>
      </c>
      <c r="K158" s="119"/>
      <c r="L158" s="102"/>
      <c r="M158" s="117"/>
      <c r="N158" s="102"/>
      <c r="O158" s="102"/>
      <c r="P158" s="101"/>
      <c r="Q158" s="101"/>
      <c r="R158" s="102"/>
      <c r="S158" s="106"/>
      <c r="T158" s="106"/>
      <c r="U158" s="107"/>
      <c r="V158" s="117"/>
      <c r="W158" s="102"/>
      <c r="X158" s="102"/>
      <c r="Y158" s="101"/>
      <c r="Z158" s="101"/>
      <c r="AA158" s="102"/>
      <c r="AB158" s="106"/>
      <c r="AC158" s="106"/>
      <c r="AD158" s="107"/>
      <c r="AE158" s="117"/>
      <c r="AF158" s="102"/>
      <c r="AG158" s="102"/>
      <c r="AH158" s="101"/>
      <c r="AI158" s="101"/>
      <c r="AJ158" s="102"/>
      <c r="AK158" s="106"/>
      <c r="AL158" s="106"/>
    </row>
    <row r="159" spans="1:38" ht="30.75" customHeight="1" x14ac:dyDescent="0.25">
      <c r="A159" s="117" t="s">
        <v>147</v>
      </c>
      <c r="B159" s="102" t="s">
        <v>333</v>
      </c>
      <c r="C159" s="102">
        <v>33</v>
      </c>
      <c r="D159" s="102" t="s">
        <v>334</v>
      </c>
      <c r="E159" s="102">
        <v>0</v>
      </c>
      <c r="F159" s="102" t="s">
        <v>335</v>
      </c>
      <c r="G159" s="81" t="s">
        <v>336</v>
      </c>
      <c r="H159" s="12">
        <v>43556</v>
      </c>
      <c r="I159" s="12">
        <v>43769</v>
      </c>
      <c r="J159" s="51" t="s">
        <v>337</v>
      </c>
      <c r="K159" s="119" t="s">
        <v>338</v>
      </c>
      <c r="L159" s="102" t="s">
        <v>339</v>
      </c>
      <c r="M159" s="117" t="s">
        <v>340</v>
      </c>
      <c r="N159" s="102" t="s">
        <v>1087</v>
      </c>
      <c r="O159" s="102" t="s">
        <v>1087</v>
      </c>
      <c r="P159" s="101" t="str">
        <f>IFERROR((0/0),"No aplica")</f>
        <v>No aplica</v>
      </c>
      <c r="Q159" s="101">
        <f>IFERROR((0/1800),"No aplica")</f>
        <v>0</v>
      </c>
      <c r="R159" s="102" t="s">
        <v>697</v>
      </c>
      <c r="S159" s="106" t="s">
        <v>700</v>
      </c>
      <c r="T159" s="106" t="s">
        <v>75</v>
      </c>
      <c r="U159" s="107" t="s">
        <v>1086</v>
      </c>
      <c r="V159" s="117" t="s">
        <v>340</v>
      </c>
      <c r="W159" s="102" t="s">
        <v>1085</v>
      </c>
      <c r="X159" s="102" t="s">
        <v>1084</v>
      </c>
      <c r="Y159" s="101">
        <f>IFERROR((41/120),"No aplica")</f>
        <v>0.34166666666666667</v>
      </c>
      <c r="Z159" s="101">
        <f>IFERROR((41/1800),"No aplica")</f>
        <v>2.2777777777777779E-2</v>
      </c>
      <c r="AA159" s="102" t="s">
        <v>703</v>
      </c>
      <c r="AB159" s="106" t="s">
        <v>1083</v>
      </c>
      <c r="AC159" s="106" t="s">
        <v>1082</v>
      </c>
      <c r="AD159" s="107" t="s">
        <v>1081</v>
      </c>
      <c r="AE159" s="117" t="s">
        <v>340</v>
      </c>
      <c r="AF159" s="102" t="s">
        <v>1080</v>
      </c>
      <c r="AG159" s="102" t="s">
        <v>1079</v>
      </c>
      <c r="AH159" s="101">
        <f>IFERROR((394/360),"No aplica")</f>
        <v>1.0944444444444446</v>
      </c>
      <c r="AI159" s="101">
        <f>IFERROR(((41+394)/720),"No aplica")</f>
        <v>0.60416666666666663</v>
      </c>
      <c r="AJ159" s="102" t="s">
        <v>692</v>
      </c>
      <c r="AK159" s="106" t="s">
        <v>1078</v>
      </c>
      <c r="AL159" s="106" t="s">
        <v>1077</v>
      </c>
    </row>
    <row r="160" spans="1:38" ht="47.25" customHeight="1" x14ac:dyDescent="0.25">
      <c r="A160" s="117"/>
      <c r="B160" s="102"/>
      <c r="C160" s="102"/>
      <c r="D160" s="102"/>
      <c r="E160" s="102"/>
      <c r="F160" s="102"/>
      <c r="G160" s="81" t="s">
        <v>341</v>
      </c>
      <c r="H160" s="12">
        <v>43570</v>
      </c>
      <c r="I160" s="12">
        <v>43807</v>
      </c>
      <c r="J160" s="51" t="s">
        <v>337</v>
      </c>
      <c r="K160" s="119"/>
      <c r="L160" s="102"/>
      <c r="M160" s="117"/>
      <c r="N160" s="102"/>
      <c r="O160" s="102"/>
      <c r="P160" s="101"/>
      <c r="Q160" s="101"/>
      <c r="R160" s="102"/>
      <c r="S160" s="106"/>
      <c r="T160" s="106"/>
      <c r="U160" s="107"/>
      <c r="V160" s="117"/>
      <c r="W160" s="102"/>
      <c r="X160" s="102"/>
      <c r="Y160" s="101"/>
      <c r="Z160" s="101"/>
      <c r="AA160" s="102"/>
      <c r="AB160" s="106"/>
      <c r="AC160" s="106"/>
      <c r="AD160" s="107"/>
      <c r="AE160" s="117"/>
      <c r="AF160" s="102"/>
      <c r="AG160" s="102"/>
      <c r="AH160" s="101"/>
      <c r="AI160" s="101"/>
      <c r="AJ160" s="102"/>
      <c r="AK160" s="106"/>
      <c r="AL160" s="106"/>
    </row>
    <row r="161" spans="1:38" ht="47.25" customHeight="1" x14ac:dyDescent="0.25">
      <c r="A161" s="117"/>
      <c r="B161" s="102"/>
      <c r="C161" s="102"/>
      <c r="D161" s="102"/>
      <c r="E161" s="102"/>
      <c r="F161" s="102"/>
      <c r="G161" s="81" t="s">
        <v>342</v>
      </c>
      <c r="H161" s="12">
        <v>43586</v>
      </c>
      <c r="I161" s="12">
        <v>43807</v>
      </c>
      <c r="J161" s="51" t="s">
        <v>337</v>
      </c>
      <c r="K161" s="119"/>
      <c r="L161" s="102"/>
      <c r="M161" s="117"/>
      <c r="N161" s="102"/>
      <c r="O161" s="102"/>
      <c r="P161" s="101"/>
      <c r="Q161" s="101"/>
      <c r="R161" s="102"/>
      <c r="S161" s="106"/>
      <c r="T161" s="106"/>
      <c r="U161" s="107"/>
      <c r="V161" s="117"/>
      <c r="W161" s="102"/>
      <c r="X161" s="102"/>
      <c r="Y161" s="101"/>
      <c r="Z161" s="101"/>
      <c r="AA161" s="102"/>
      <c r="AB161" s="106"/>
      <c r="AC161" s="106"/>
      <c r="AD161" s="107"/>
      <c r="AE161" s="117"/>
      <c r="AF161" s="102"/>
      <c r="AG161" s="102"/>
      <c r="AH161" s="101"/>
      <c r="AI161" s="101"/>
      <c r="AJ161" s="102"/>
      <c r="AK161" s="106"/>
      <c r="AL161" s="106"/>
    </row>
    <row r="162" spans="1:38" ht="47.25" customHeight="1" x14ac:dyDescent="0.25">
      <c r="A162" s="117"/>
      <c r="B162" s="102"/>
      <c r="C162" s="102"/>
      <c r="D162" s="102"/>
      <c r="E162" s="102"/>
      <c r="F162" s="102"/>
      <c r="G162" s="81" t="s">
        <v>343</v>
      </c>
      <c r="H162" s="12">
        <v>43586</v>
      </c>
      <c r="I162" s="12">
        <v>43807</v>
      </c>
      <c r="J162" s="51" t="s">
        <v>337</v>
      </c>
      <c r="K162" s="119"/>
      <c r="L162" s="102"/>
      <c r="M162" s="117"/>
      <c r="N162" s="102"/>
      <c r="O162" s="102"/>
      <c r="P162" s="101"/>
      <c r="Q162" s="101"/>
      <c r="R162" s="102"/>
      <c r="S162" s="106"/>
      <c r="T162" s="106"/>
      <c r="U162" s="107"/>
      <c r="V162" s="117"/>
      <c r="W162" s="102"/>
      <c r="X162" s="102"/>
      <c r="Y162" s="101"/>
      <c r="Z162" s="101"/>
      <c r="AA162" s="102"/>
      <c r="AB162" s="106"/>
      <c r="AC162" s="106"/>
      <c r="AD162" s="107"/>
      <c r="AE162" s="117"/>
      <c r="AF162" s="102"/>
      <c r="AG162" s="102"/>
      <c r="AH162" s="101"/>
      <c r="AI162" s="101"/>
      <c r="AJ162" s="102"/>
      <c r="AK162" s="106"/>
      <c r="AL162" s="106"/>
    </row>
    <row r="163" spans="1:38" ht="47.25" customHeight="1" x14ac:dyDescent="0.25">
      <c r="A163" s="117"/>
      <c r="B163" s="102"/>
      <c r="C163" s="102"/>
      <c r="D163" s="102"/>
      <c r="E163" s="102"/>
      <c r="F163" s="102"/>
      <c r="G163" s="81" t="s">
        <v>344</v>
      </c>
      <c r="H163" s="12">
        <v>43586</v>
      </c>
      <c r="I163" s="12">
        <v>43807</v>
      </c>
      <c r="J163" s="52" t="s">
        <v>337</v>
      </c>
      <c r="K163" s="119"/>
      <c r="L163" s="102"/>
      <c r="M163" s="117"/>
      <c r="N163" s="102"/>
      <c r="O163" s="102"/>
      <c r="P163" s="101"/>
      <c r="Q163" s="101"/>
      <c r="R163" s="102"/>
      <c r="S163" s="106"/>
      <c r="T163" s="106"/>
      <c r="U163" s="107"/>
      <c r="V163" s="117"/>
      <c r="W163" s="102"/>
      <c r="X163" s="102"/>
      <c r="Y163" s="101"/>
      <c r="Z163" s="101"/>
      <c r="AA163" s="102"/>
      <c r="AB163" s="106"/>
      <c r="AC163" s="106"/>
      <c r="AD163" s="107"/>
      <c r="AE163" s="117"/>
      <c r="AF163" s="102"/>
      <c r="AG163" s="102"/>
      <c r="AH163" s="101"/>
      <c r="AI163" s="101"/>
      <c r="AJ163" s="102"/>
      <c r="AK163" s="106"/>
      <c r="AL163" s="106"/>
    </row>
    <row r="164" spans="1:38" ht="47.25" customHeight="1" x14ac:dyDescent="0.25">
      <c r="A164" s="117"/>
      <c r="B164" s="102"/>
      <c r="C164" s="102"/>
      <c r="D164" s="102"/>
      <c r="E164" s="102"/>
      <c r="F164" s="102"/>
      <c r="G164" s="81" t="s">
        <v>345</v>
      </c>
      <c r="H164" s="12">
        <v>43586</v>
      </c>
      <c r="I164" s="12">
        <v>43807</v>
      </c>
      <c r="J164" s="51" t="s">
        <v>337</v>
      </c>
      <c r="K164" s="119"/>
      <c r="L164" s="102"/>
      <c r="M164" s="117"/>
      <c r="N164" s="102"/>
      <c r="O164" s="102"/>
      <c r="P164" s="101"/>
      <c r="Q164" s="101"/>
      <c r="R164" s="102"/>
      <c r="S164" s="106"/>
      <c r="T164" s="106"/>
      <c r="U164" s="107"/>
      <c r="V164" s="117"/>
      <c r="W164" s="102"/>
      <c r="X164" s="102"/>
      <c r="Y164" s="101"/>
      <c r="Z164" s="101"/>
      <c r="AA164" s="102"/>
      <c r="AB164" s="106"/>
      <c r="AC164" s="106"/>
      <c r="AD164" s="107"/>
      <c r="AE164" s="117"/>
      <c r="AF164" s="102"/>
      <c r="AG164" s="102"/>
      <c r="AH164" s="101"/>
      <c r="AI164" s="101"/>
      <c r="AJ164" s="102"/>
      <c r="AK164" s="106"/>
      <c r="AL164" s="106"/>
    </row>
    <row r="165" spans="1:38" ht="61.5" customHeight="1" x14ac:dyDescent="0.25">
      <c r="A165" s="117" t="s">
        <v>147</v>
      </c>
      <c r="B165" s="102" t="s">
        <v>333</v>
      </c>
      <c r="C165" s="102">
        <v>34</v>
      </c>
      <c r="D165" s="102" t="s">
        <v>346</v>
      </c>
      <c r="E165" s="102">
        <v>0</v>
      </c>
      <c r="F165" s="102" t="s">
        <v>347</v>
      </c>
      <c r="G165" s="81" t="s">
        <v>348</v>
      </c>
      <c r="H165" s="12">
        <v>43617</v>
      </c>
      <c r="I165" s="12">
        <v>43770</v>
      </c>
      <c r="J165" s="51" t="s">
        <v>337</v>
      </c>
      <c r="K165" s="119" t="s">
        <v>338</v>
      </c>
      <c r="L165" s="102" t="s">
        <v>339</v>
      </c>
      <c r="M165" s="117" t="s">
        <v>349</v>
      </c>
      <c r="N165" s="102" t="s">
        <v>1072</v>
      </c>
      <c r="O165" s="102" t="s">
        <v>1072</v>
      </c>
      <c r="P165" s="101" t="str">
        <f>IFERROR((0/0),"No aplica")</f>
        <v>No aplica</v>
      </c>
      <c r="Q165" s="101">
        <f>IFERROR((0/27),"No aplica")</f>
        <v>0</v>
      </c>
      <c r="R165" s="102" t="s">
        <v>697</v>
      </c>
      <c r="S165" s="106" t="s">
        <v>700</v>
      </c>
      <c r="T165" s="106" t="s">
        <v>75</v>
      </c>
      <c r="U165" s="107" t="s">
        <v>1076</v>
      </c>
      <c r="V165" s="117" t="s">
        <v>349</v>
      </c>
      <c r="W165" s="102" t="s">
        <v>1072</v>
      </c>
      <c r="X165" s="102" t="s">
        <v>1072</v>
      </c>
      <c r="Y165" s="101" t="str">
        <f>IFERROR((0/0),"No aplica")</f>
        <v>No aplica</v>
      </c>
      <c r="Z165" s="101">
        <f>IFERROR((0/27),"No aplica")</f>
        <v>0</v>
      </c>
      <c r="AA165" s="102" t="s">
        <v>697</v>
      </c>
      <c r="AB165" s="106" t="s">
        <v>1075</v>
      </c>
      <c r="AC165" s="106" t="s">
        <v>1074</v>
      </c>
      <c r="AD165" s="107" t="s">
        <v>1073</v>
      </c>
      <c r="AE165" s="117" t="s">
        <v>349</v>
      </c>
      <c r="AF165" s="102" t="s">
        <v>1072</v>
      </c>
      <c r="AG165" s="102" t="s">
        <v>1071</v>
      </c>
      <c r="AH165" s="101" t="str">
        <f>IFERROR((2/0),"No aplica")</f>
        <v>No aplica</v>
      </c>
      <c r="AI165" s="101">
        <f>IFERROR((2/20),"No aplica")</f>
        <v>0.1</v>
      </c>
      <c r="AJ165" s="102" t="s">
        <v>692</v>
      </c>
      <c r="AK165" s="106" t="s">
        <v>1070</v>
      </c>
      <c r="AL165" s="106" t="s">
        <v>1069</v>
      </c>
    </row>
    <row r="166" spans="1:38" ht="61.5" customHeight="1" x14ac:dyDescent="0.25">
      <c r="A166" s="117"/>
      <c r="B166" s="102"/>
      <c r="C166" s="102"/>
      <c r="D166" s="102"/>
      <c r="E166" s="102"/>
      <c r="F166" s="102"/>
      <c r="G166" s="81" t="s">
        <v>350</v>
      </c>
      <c r="H166" s="12">
        <v>43617</v>
      </c>
      <c r="I166" s="12">
        <v>43770</v>
      </c>
      <c r="J166" s="51" t="s">
        <v>337</v>
      </c>
      <c r="K166" s="119"/>
      <c r="L166" s="102"/>
      <c r="M166" s="117"/>
      <c r="N166" s="102"/>
      <c r="O166" s="102"/>
      <c r="P166" s="101"/>
      <c r="Q166" s="101"/>
      <c r="R166" s="102"/>
      <c r="S166" s="106"/>
      <c r="T166" s="106"/>
      <c r="U166" s="107"/>
      <c r="V166" s="117"/>
      <c r="W166" s="102"/>
      <c r="X166" s="102"/>
      <c r="Y166" s="101"/>
      <c r="Z166" s="101"/>
      <c r="AA166" s="102"/>
      <c r="AB166" s="106"/>
      <c r="AC166" s="106"/>
      <c r="AD166" s="107"/>
      <c r="AE166" s="117"/>
      <c r="AF166" s="102"/>
      <c r="AG166" s="102"/>
      <c r="AH166" s="149"/>
      <c r="AI166" s="101"/>
      <c r="AJ166" s="102"/>
      <c r="AK166" s="106"/>
      <c r="AL166" s="106"/>
    </row>
    <row r="167" spans="1:38" ht="61.5" customHeight="1" x14ac:dyDescent="0.25">
      <c r="A167" s="117"/>
      <c r="B167" s="102"/>
      <c r="C167" s="102"/>
      <c r="D167" s="102"/>
      <c r="E167" s="102"/>
      <c r="F167" s="102"/>
      <c r="G167" s="81" t="s">
        <v>351</v>
      </c>
      <c r="H167" s="12">
        <v>43617</v>
      </c>
      <c r="I167" s="12">
        <v>43770</v>
      </c>
      <c r="J167" s="51" t="s">
        <v>337</v>
      </c>
      <c r="K167" s="119"/>
      <c r="L167" s="102"/>
      <c r="M167" s="117"/>
      <c r="N167" s="102"/>
      <c r="O167" s="102"/>
      <c r="P167" s="101"/>
      <c r="Q167" s="101"/>
      <c r="R167" s="102"/>
      <c r="S167" s="106"/>
      <c r="T167" s="106"/>
      <c r="U167" s="107"/>
      <c r="V167" s="117"/>
      <c r="W167" s="102"/>
      <c r="X167" s="102"/>
      <c r="Y167" s="101"/>
      <c r="Z167" s="101"/>
      <c r="AA167" s="102"/>
      <c r="AB167" s="106"/>
      <c r="AC167" s="106"/>
      <c r="AD167" s="107"/>
      <c r="AE167" s="117"/>
      <c r="AF167" s="102"/>
      <c r="AG167" s="102"/>
      <c r="AH167" s="149"/>
      <c r="AI167" s="101"/>
      <c r="AJ167" s="102"/>
      <c r="AK167" s="106"/>
      <c r="AL167" s="106"/>
    </row>
    <row r="168" spans="1:38" ht="61.5" customHeight="1" x14ac:dyDescent="0.25">
      <c r="A168" s="117"/>
      <c r="B168" s="102"/>
      <c r="C168" s="102"/>
      <c r="D168" s="102"/>
      <c r="E168" s="102"/>
      <c r="F168" s="102"/>
      <c r="G168" s="81" t="s">
        <v>352</v>
      </c>
      <c r="H168" s="12">
        <v>43647</v>
      </c>
      <c r="I168" s="12">
        <v>43799</v>
      </c>
      <c r="J168" s="51" t="s">
        <v>337</v>
      </c>
      <c r="K168" s="119"/>
      <c r="L168" s="102"/>
      <c r="M168" s="117"/>
      <c r="N168" s="102"/>
      <c r="O168" s="102"/>
      <c r="P168" s="101"/>
      <c r="Q168" s="101"/>
      <c r="R168" s="102"/>
      <c r="S168" s="106"/>
      <c r="T168" s="106"/>
      <c r="U168" s="107"/>
      <c r="V168" s="117"/>
      <c r="W168" s="102"/>
      <c r="X168" s="102"/>
      <c r="Y168" s="101"/>
      <c r="Z168" s="101"/>
      <c r="AA168" s="102"/>
      <c r="AB168" s="106"/>
      <c r="AC168" s="106"/>
      <c r="AD168" s="107"/>
      <c r="AE168" s="117"/>
      <c r="AF168" s="102"/>
      <c r="AG168" s="102"/>
      <c r="AH168" s="149"/>
      <c r="AI168" s="101"/>
      <c r="AJ168" s="102"/>
      <c r="AK168" s="106"/>
      <c r="AL168" s="106"/>
    </row>
    <row r="169" spans="1:38" ht="69.75" customHeight="1" x14ac:dyDescent="0.25">
      <c r="A169" s="117" t="s">
        <v>52</v>
      </c>
      <c r="B169" s="102" t="s">
        <v>354</v>
      </c>
      <c r="C169" s="102">
        <v>36</v>
      </c>
      <c r="D169" s="102" t="s">
        <v>355</v>
      </c>
      <c r="E169" s="102">
        <v>0</v>
      </c>
      <c r="F169" s="102" t="s">
        <v>356</v>
      </c>
      <c r="G169" s="81" t="s">
        <v>357</v>
      </c>
      <c r="H169" s="12">
        <v>43620</v>
      </c>
      <c r="I169" s="12">
        <v>43814</v>
      </c>
      <c r="J169" s="51" t="s">
        <v>326</v>
      </c>
      <c r="K169" s="119" t="s">
        <v>358</v>
      </c>
      <c r="L169" s="102" t="s">
        <v>195</v>
      </c>
      <c r="M169" s="117" t="s">
        <v>359</v>
      </c>
      <c r="N169" s="102" t="s">
        <v>1064</v>
      </c>
      <c r="O169" s="102" t="s">
        <v>1064</v>
      </c>
      <c r="P169" s="101" t="str">
        <f>IFERROR((0/0),"No aplica")</f>
        <v>No aplica</v>
      </c>
      <c r="Q169" s="101">
        <f>IFERROR((0/10),"No aplica")</f>
        <v>0</v>
      </c>
      <c r="R169" s="102" t="s">
        <v>697</v>
      </c>
      <c r="S169" s="106" t="s">
        <v>700</v>
      </c>
      <c r="T169" s="106" t="s">
        <v>75</v>
      </c>
      <c r="U169" s="107" t="s">
        <v>1068</v>
      </c>
      <c r="V169" s="117" t="s">
        <v>359</v>
      </c>
      <c r="W169" s="102" t="s">
        <v>1064</v>
      </c>
      <c r="X169" s="102" t="s">
        <v>1064</v>
      </c>
      <c r="Y169" s="101" t="str">
        <f>IFERROR((0/0),"No aplica")</f>
        <v>No aplica</v>
      </c>
      <c r="Z169" s="101">
        <f>IFERROR((0/10),"No aplica")</f>
        <v>0</v>
      </c>
      <c r="AA169" s="102" t="s">
        <v>697</v>
      </c>
      <c r="AB169" s="106" t="s">
        <v>1067</v>
      </c>
      <c r="AC169" s="106" t="s">
        <v>1066</v>
      </c>
      <c r="AD169" s="107" t="s">
        <v>1065</v>
      </c>
      <c r="AE169" s="117" t="s">
        <v>359</v>
      </c>
      <c r="AF169" s="102" t="s">
        <v>1064</v>
      </c>
      <c r="AG169" s="102" t="s">
        <v>1064</v>
      </c>
      <c r="AH169" s="101" t="str">
        <f>IFERROR((0/0),"No aplica")</f>
        <v>No aplica</v>
      </c>
      <c r="AI169" s="101">
        <f>IFERROR((0/10),"No aplica")</f>
        <v>0</v>
      </c>
      <c r="AJ169" s="102" t="s">
        <v>697</v>
      </c>
      <c r="AK169" s="137" t="s">
        <v>1063</v>
      </c>
      <c r="AL169" s="106" t="s">
        <v>1062</v>
      </c>
    </row>
    <row r="170" spans="1:38" ht="69.75" customHeight="1" x14ac:dyDescent="0.25">
      <c r="A170" s="117"/>
      <c r="B170" s="102"/>
      <c r="C170" s="102"/>
      <c r="D170" s="102"/>
      <c r="E170" s="102"/>
      <c r="F170" s="102"/>
      <c r="G170" s="81" t="s">
        <v>360</v>
      </c>
      <c r="H170" s="12">
        <v>43620</v>
      </c>
      <c r="I170" s="12">
        <v>43814</v>
      </c>
      <c r="J170" s="51" t="s">
        <v>326</v>
      </c>
      <c r="K170" s="119"/>
      <c r="L170" s="102"/>
      <c r="M170" s="117"/>
      <c r="N170" s="102"/>
      <c r="O170" s="102"/>
      <c r="P170" s="101"/>
      <c r="Q170" s="101"/>
      <c r="R170" s="102"/>
      <c r="S170" s="106"/>
      <c r="T170" s="106"/>
      <c r="U170" s="107"/>
      <c r="V170" s="117"/>
      <c r="W170" s="102"/>
      <c r="X170" s="102"/>
      <c r="Y170" s="101"/>
      <c r="Z170" s="101"/>
      <c r="AA170" s="102"/>
      <c r="AB170" s="106"/>
      <c r="AC170" s="106"/>
      <c r="AD170" s="107"/>
      <c r="AE170" s="117"/>
      <c r="AF170" s="102"/>
      <c r="AG170" s="102"/>
      <c r="AH170" s="101"/>
      <c r="AI170" s="101"/>
      <c r="AJ170" s="102"/>
      <c r="AK170" s="139"/>
      <c r="AL170" s="106"/>
    </row>
    <row r="171" spans="1:38" ht="73.5" customHeight="1" x14ac:dyDescent="0.25">
      <c r="A171" s="117" t="s">
        <v>52</v>
      </c>
      <c r="B171" s="102" t="s">
        <v>354</v>
      </c>
      <c r="C171" s="102">
        <v>37</v>
      </c>
      <c r="D171" s="102" t="s">
        <v>361</v>
      </c>
      <c r="E171" s="102">
        <v>0</v>
      </c>
      <c r="F171" s="102" t="s">
        <v>362</v>
      </c>
      <c r="G171" s="81" t="s">
        <v>363</v>
      </c>
      <c r="H171" s="12">
        <v>43647</v>
      </c>
      <c r="I171" s="12">
        <v>43677</v>
      </c>
      <c r="J171" s="51" t="s">
        <v>326</v>
      </c>
      <c r="K171" s="119" t="s">
        <v>353</v>
      </c>
      <c r="L171" s="102" t="s">
        <v>195</v>
      </c>
      <c r="M171" s="117" t="s">
        <v>364</v>
      </c>
      <c r="N171" s="102" t="s">
        <v>1057</v>
      </c>
      <c r="O171" s="102" t="s">
        <v>1057</v>
      </c>
      <c r="P171" s="101" t="str">
        <f>IFERROR((0/0),"No aplica")</f>
        <v>No aplica</v>
      </c>
      <c r="Q171" s="101">
        <f>IFERROR((0/2),"No aplica")</f>
        <v>0</v>
      </c>
      <c r="R171" s="102" t="s">
        <v>697</v>
      </c>
      <c r="S171" s="106" t="s">
        <v>700</v>
      </c>
      <c r="T171" s="106" t="s">
        <v>75</v>
      </c>
      <c r="U171" s="107" t="s">
        <v>1061</v>
      </c>
      <c r="V171" s="117" t="s">
        <v>364</v>
      </c>
      <c r="W171" s="102" t="s">
        <v>1057</v>
      </c>
      <c r="X171" s="102" t="s">
        <v>1057</v>
      </c>
      <c r="Y171" s="101" t="str">
        <f>IFERROR((0/0),"No aplica")</f>
        <v>No aplica</v>
      </c>
      <c r="Z171" s="101">
        <f>IFERROR((0/2),"No aplica")</f>
        <v>0</v>
      </c>
      <c r="AA171" s="102" t="s">
        <v>697</v>
      </c>
      <c r="AB171" s="106" t="s">
        <v>1060</v>
      </c>
      <c r="AC171" s="106" t="s">
        <v>1059</v>
      </c>
      <c r="AD171" s="107" t="s">
        <v>1058</v>
      </c>
      <c r="AE171" s="117" t="s">
        <v>364</v>
      </c>
      <c r="AF171" s="102" t="s">
        <v>1057</v>
      </c>
      <c r="AG171" s="102" t="s">
        <v>1057</v>
      </c>
      <c r="AH171" s="101" t="str">
        <f>IFERROR((0/0),"No aplica")</f>
        <v>No aplica</v>
      </c>
      <c r="AI171" s="101">
        <f>IFERROR((0/2),"No aplica")</f>
        <v>0</v>
      </c>
      <c r="AJ171" s="102" t="s">
        <v>697</v>
      </c>
      <c r="AK171" s="106" t="s">
        <v>1056</v>
      </c>
      <c r="AL171" s="106" t="s">
        <v>1055</v>
      </c>
    </row>
    <row r="172" spans="1:38" ht="73.5" customHeight="1" x14ac:dyDescent="0.25">
      <c r="A172" s="117"/>
      <c r="B172" s="102"/>
      <c r="C172" s="102"/>
      <c r="D172" s="102"/>
      <c r="E172" s="102"/>
      <c r="F172" s="102"/>
      <c r="G172" s="81" t="s">
        <v>365</v>
      </c>
      <c r="H172" s="12">
        <v>43678</v>
      </c>
      <c r="I172" s="12">
        <v>43799</v>
      </c>
      <c r="J172" s="51" t="s">
        <v>337</v>
      </c>
      <c r="K172" s="119"/>
      <c r="L172" s="102"/>
      <c r="M172" s="117"/>
      <c r="N172" s="102"/>
      <c r="O172" s="102"/>
      <c r="P172" s="101"/>
      <c r="Q172" s="101"/>
      <c r="R172" s="102"/>
      <c r="S172" s="106"/>
      <c r="T172" s="106"/>
      <c r="U172" s="107"/>
      <c r="V172" s="117"/>
      <c r="W172" s="102"/>
      <c r="X172" s="102"/>
      <c r="Y172" s="101"/>
      <c r="Z172" s="101"/>
      <c r="AA172" s="102"/>
      <c r="AB172" s="106"/>
      <c r="AC172" s="106"/>
      <c r="AD172" s="107"/>
      <c r="AE172" s="117"/>
      <c r="AF172" s="102"/>
      <c r="AG172" s="102"/>
      <c r="AH172" s="101"/>
      <c r="AI172" s="101"/>
      <c r="AJ172" s="102"/>
      <c r="AK172" s="106"/>
      <c r="AL172" s="106"/>
    </row>
    <row r="173" spans="1:38" x14ac:dyDescent="0.25">
      <c r="A173" s="38" t="s">
        <v>51</v>
      </c>
      <c r="B173" s="39" t="s">
        <v>51</v>
      </c>
      <c r="C173" s="39"/>
      <c r="D173" s="39" t="s">
        <v>51</v>
      </c>
      <c r="E173" s="39" t="s">
        <v>51</v>
      </c>
      <c r="F173" s="39" t="s">
        <v>51</v>
      </c>
      <c r="G173" s="44" t="s">
        <v>51</v>
      </c>
      <c r="H173" s="39" t="s">
        <v>51</v>
      </c>
      <c r="I173" s="39" t="s">
        <v>51</v>
      </c>
      <c r="J173" s="43" t="s">
        <v>51</v>
      </c>
      <c r="K173" s="42" t="s">
        <v>51</v>
      </c>
      <c r="L173" s="39" t="s">
        <v>51</v>
      </c>
      <c r="M173" s="38" t="s">
        <v>51</v>
      </c>
      <c r="N173" s="39"/>
      <c r="O173" s="39"/>
      <c r="P173" s="41"/>
      <c r="Q173" s="41"/>
      <c r="R173" s="39"/>
      <c r="S173" s="37"/>
      <c r="T173" s="37"/>
      <c r="U173" s="40"/>
      <c r="V173" s="38" t="s">
        <v>51</v>
      </c>
      <c r="W173" s="39"/>
      <c r="X173" s="39"/>
      <c r="Y173" s="39"/>
      <c r="Z173" s="39"/>
      <c r="AA173" s="38" t="s">
        <v>51</v>
      </c>
      <c r="AB173" s="37"/>
      <c r="AC173" s="37"/>
      <c r="AD173" s="40"/>
      <c r="AE173" s="38" t="s">
        <v>51</v>
      </c>
      <c r="AF173" s="39"/>
      <c r="AG173" s="39"/>
      <c r="AH173" s="39"/>
      <c r="AI173" s="39"/>
      <c r="AJ173" s="38" t="s">
        <v>51</v>
      </c>
      <c r="AK173" s="37"/>
      <c r="AL173" s="37"/>
    </row>
    <row r="174" spans="1:38" ht="41.25" customHeight="1" x14ac:dyDescent="0.25">
      <c r="A174" s="150" t="s">
        <v>52</v>
      </c>
      <c r="B174" s="102" t="s">
        <v>366</v>
      </c>
      <c r="C174" s="102">
        <v>39</v>
      </c>
      <c r="D174" s="102" t="s">
        <v>367</v>
      </c>
      <c r="E174" s="102">
        <v>0</v>
      </c>
      <c r="F174" s="102" t="s">
        <v>368</v>
      </c>
      <c r="G174" s="81" t="s">
        <v>369</v>
      </c>
      <c r="H174" s="20">
        <v>43467</v>
      </c>
      <c r="I174" s="20">
        <v>43555</v>
      </c>
      <c r="J174" s="46" t="s">
        <v>370</v>
      </c>
      <c r="K174" s="119" t="s">
        <v>353</v>
      </c>
      <c r="L174" s="102" t="s">
        <v>195</v>
      </c>
      <c r="M174" s="117" t="s">
        <v>371</v>
      </c>
      <c r="N174" s="102" t="s">
        <v>1051</v>
      </c>
      <c r="O174" s="102" t="s">
        <v>1051</v>
      </c>
      <c r="P174" s="101" t="str">
        <f>IFERROR((0%/0%),"No aplica")</f>
        <v>No aplica</v>
      </c>
      <c r="Q174" s="101">
        <f>IFERROR((0/2),"No aplica")</f>
        <v>0</v>
      </c>
      <c r="R174" s="102" t="s">
        <v>697</v>
      </c>
      <c r="S174" s="106" t="s">
        <v>1054</v>
      </c>
      <c r="T174" s="106" t="s">
        <v>1053</v>
      </c>
      <c r="U174" s="107" t="s">
        <v>1052</v>
      </c>
      <c r="V174" s="117" t="s">
        <v>371</v>
      </c>
      <c r="W174" s="102" t="s">
        <v>1051</v>
      </c>
      <c r="X174" s="102" t="s">
        <v>1051</v>
      </c>
      <c r="Y174" s="101" t="str">
        <f>IFERROR((0%/0%),"No aplica")</f>
        <v>No aplica</v>
      </c>
      <c r="Z174" s="101">
        <f>IFERROR((0/2),"No aplica")</f>
        <v>0</v>
      </c>
      <c r="AA174" s="102" t="s">
        <v>697</v>
      </c>
      <c r="AB174" s="106" t="s">
        <v>1050</v>
      </c>
      <c r="AC174" s="106" t="s">
        <v>1049</v>
      </c>
      <c r="AD174" s="107" t="s">
        <v>1048</v>
      </c>
      <c r="AE174" s="117" t="s">
        <v>371</v>
      </c>
      <c r="AF174" s="102" t="s">
        <v>1047</v>
      </c>
      <c r="AG174" s="102" t="s">
        <v>1047</v>
      </c>
      <c r="AH174" s="101">
        <f>IFERROR((1/1),"No aplica")</f>
        <v>1</v>
      </c>
      <c r="AI174" s="101">
        <f>IFERROR((1/2),"No aplica")</f>
        <v>0.5</v>
      </c>
      <c r="AJ174" s="102" t="s">
        <v>692</v>
      </c>
      <c r="AK174" s="106" t="s">
        <v>1046</v>
      </c>
      <c r="AL174" s="106" t="s">
        <v>1045</v>
      </c>
    </row>
    <row r="175" spans="1:38" ht="41.25" customHeight="1" x14ac:dyDescent="0.25">
      <c r="A175" s="150"/>
      <c r="B175" s="102"/>
      <c r="C175" s="102"/>
      <c r="D175" s="102"/>
      <c r="E175" s="102"/>
      <c r="F175" s="102"/>
      <c r="G175" s="81" t="s">
        <v>372</v>
      </c>
      <c r="H175" s="20">
        <v>43555</v>
      </c>
      <c r="I175" s="20">
        <v>43570</v>
      </c>
      <c r="J175" s="46" t="s">
        <v>370</v>
      </c>
      <c r="K175" s="119"/>
      <c r="L175" s="102"/>
      <c r="M175" s="117"/>
      <c r="N175" s="102"/>
      <c r="O175" s="102"/>
      <c r="P175" s="101"/>
      <c r="Q175" s="101"/>
      <c r="R175" s="102"/>
      <c r="S175" s="106"/>
      <c r="T175" s="106"/>
      <c r="U175" s="107"/>
      <c r="V175" s="117"/>
      <c r="W175" s="102"/>
      <c r="X175" s="102"/>
      <c r="Y175" s="101"/>
      <c r="Z175" s="101"/>
      <c r="AA175" s="102"/>
      <c r="AB175" s="106"/>
      <c r="AC175" s="106"/>
      <c r="AD175" s="107"/>
      <c r="AE175" s="117"/>
      <c r="AF175" s="102"/>
      <c r="AG175" s="102"/>
      <c r="AH175" s="101"/>
      <c r="AI175" s="101"/>
      <c r="AJ175" s="102"/>
      <c r="AK175" s="106"/>
      <c r="AL175" s="106"/>
    </row>
    <row r="176" spans="1:38" ht="41.25" customHeight="1" x14ac:dyDescent="0.25">
      <c r="A176" s="150"/>
      <c r="B176" s="102"/>
      <c r="C176" s="102"/>
      <c r="D176" s="102"/>
      <c r="E176" s="102"/>
      <c r="F176" s="102"/>
      <c r="G176" s="81" t="s">
        <v>373</v>
      </c>
      <c r="H176" s="20">
        <v>43586</v>
      </c>
      <c r="I176" s="20">
        <v>43830</v>
      </c>
      <c r="J176" s="46" t="s">
        <v>370</v>
      </c>
      <c r="K176" s="119"/>
      <c r="L176" s="102"/>
      <c r="M176" s="117"/>
      <c r="N176" s="102"/>
      <c r="O176" s="102"/>
      <c r="P176" s="101"/>
      <c r="Q176" s="101"/>
      <c r="R176" s="102"/>
      <c r="S176" s="106"/>
      <c r="T176" s="106"/>
      <c r="U176" s="107"/>
      <c r="V176" s="117"/>
      <c r="W176" s="102"/>
      <c r="X176" s="102"/>
      <c r="Y176" s="101"/>
      <c r="Z176" s="101"/>
      <c r="AA176" s="102"/>
      <c r="AB176" s="106"/>
      <c r="AC176" s="106"/>
      <c r="AD176" s="107"/>
      <c r="AE176" s="117"/>
      <c r="AF176" s="102"/>
      <c r="AG176" s="102"/>
      <c r="AH176" s="101"/>
      <c r="AI176" s="101"/>
      <c r="AJ176" s="102"/>
      <c r="AK176" s="106"/>
      <c r="AL176" s="106"/>
    </row>
    <row r="177" spans="1:38" ht="41.25" customHeight="1" x14ac:dyDescent="0.25">
      <c r="A177" s="150"/>
      <c r="B177" s="102"/>
      <c r="C177" s="102"/>
      <c r="D177" s="102"/>
      <c r="E177" s="102"/>
      <c r="F177" s="102" t="s">
        <v>374</v>
      </c>
      <c r="G177" s="81" t="s">
        <v>375</v>
      </c>
      <c r="H177" s="20">
        <v>43467</v>
      </c>
      <c r="I177" s="20">
        <v>43830</v>
      </c>
      <c r="J177" s="46" t="s">
        <v>370</v>
      </c>
      <c r="K177" s="119"/>
      <c r="L177" s="102"/>
      <c r="M177" s="117"/>
      <c r="N177" s="102"/>
      <c r="O177" s="102"/>
      <c r="P177" s="101"/>
      <c r="Q177" s="101"/>
      <c r="R177" s="102"/>
      <c r="S177" s="106"/>
      <c r="T177" s="106"/>
      <c r="U177" s="107"/>
      <c r="V177" s="117"/>
      <c r="W177" s="102"/>
      <c r="X177" s="102"/>
      <c r="Y177" s="101"/>
      <c r="Z177" s="101"/>
      <c r="AA177" s="102"/>
      <c r="AB177" s="106"/>
      <c r="AC177" s="106"/>
      <c r="AD177" s="107"/>
      <c r="AE177" s="117"/>
      <c r="AF177" s="102"/>
      <c r="AG177" s="102"/>
      <c r="AH177" s="101"/>
      <c r="AI177" s="101"/>
      <c r="AJ177" s="102"/>
      <c r="AK177" s="106"/>
      <c r="AL177" s="106"/>
    </row>
    <row r="178" spans="1:38" ht="41.25" customHeight="1" x14ac:dyDescent="0.25">
      <c r="A178" s="150"/>
      <c r="B178" s="102"/>
      <c r="C178" s="102"/>
      <c r="D178" s="102"/>
      <c r="E178" s="102"/>
      <c r="F178" s="102"/>
      <c r="G178" s="81" t="s">
        <v>376</v>
      </c>
      <c r="H178" s="20">
        <v>43466</v>
      </c>
      <c r="I178" s="20">
        <v>43645</v>
      </c>
      <c r="J178" s="46" t="s">
        <v>370</v>
      </c>
      <c r="K178" s="119"/>
      <c r="L178" s="102"/>
      <c r="M178" s="117"/>
      <c r="N178" s="102"/>
      <c r="O178" s="102"/>
      <c r="P178" s="101"/>
      <c r="Q178" s="101"/>
      <c r="R178" s="102"/>
      <c r="S178" s="106"/>
      <c r="T178" s="106"/>
      <c r="U178" s="107"/>
      <c r="V178" s="117"/>
      <c r="W178" s="102"/>
      <c r="X178" s="102"/>
      <c r="Y178" s="101"/>
      <c r="Z178" s="101"/>
      <c r="AA178" s="102"/>
      <c r="AB178" s="106"/>
      <c r="AC178" s="106"/>
      <c r="AD178" s="107"/>
      <c r="AE178" s="117"/>
      <c r="AF178" s="102"/>
      <c r="AG178" s="102"/>
      <c r="AH178" s="101"/>
      <c r="AI178" s="101"/>
      <c r="AJ178" s="102"/>
      <c r="AK178" s="106"/>
      <c r="AL178" s="106"/>
    </row>
    <row r="179" spans="1:38" ht="41.25" customHeight="1" x14ac:dyDescent="0.25">
      <c r="A179" s="150"/>
      <c r="B179" s="102"/>
      <c r="C179" s="102"/>
      <c r="D179" s="102"/>
      <c r="E179" s="102"/>
      <c r="F179" s="102"/>
      <c r="G179" s="81" t="s">
        <v>377</v>
      </c>
      <c r="H179" s="20">
        <v>43496</v>
      </c>
      <c r="I179" s="20">
        <v>43769</v>
      </c>
      <c r="J179" s="46" t="s">
        <v>370</v>
      </c>
      <c r="K179" s="119"/>
      <c r="L179" s="102"/>
      <c r="M179" s="117"/>
      <c r="N179" s="102"/>
      <c r="O179" s="102"/>
      <c r="P179" s="101"/>
      <c r="Q179" s="101"/>
      <c r="R179" s="102"/>
      <c r="S179" s="106"/>
      <c r="T179" s="106"/>
      <c r="U179" s="107"/>
      <c r="V179" s="117"/>
      <c r="W179" s="102"/>
      <c r="X179" s="102"/>
      <c r="Y179" s="101"/>
      <c r="Z179" s="101"/>
      <c r="AA179" s="102"/>
      <c r="AB179" s="106"/>
      <c r="AC179" s="106"/>
      <c r="AD179" s="107"/>
      <c r="AE179" s="117"/>
      <c r="AF179" s="102"/>
      <c r="AG179" s="102"/>
      <c r="AH179" s="101"/>
      <c r="AI179" s="101"/>
      <c r="AJ179" s="102"/>
      <c r="AK179" s="106"/>
      <c r="AL179" s="106"/>
    </row>
    <row r="180" spans="1:38" ht="47.25" x14ac:dyDescent="0.25">
      <c r="A180" s="117" t="s">
        <v>174</v>
      </c>
      <c r="B180" s="102" t="s">
        <v>301</v>
      </c>
      <c r="C180" s="102">
        <v>40</v>
      </c>
      <c r="D180" s="102" t="s">
        <v>378</v>
      </c>
      <c r="E180" s="102">
        <v>0</v>
      </c>
      <c r="F180" s="113" t="s">
        <v>379</v>
      </c>
      <c r="G180" s="81" t="s">
        <v>380</v>
      </c>
      <c r="H180" s="20">
        <v>43521</v>
      </c>
      <c r="I180" s="20">
        <v>43728</v>
      </c>
      <c r="J180" s="46" t="s">
        <v>370</v>
      </c>
      <c r="K180" s="119" t="s">
        <v>353</v>
      </c>
      <c r="L180" s="102" t="s">
        <v>195</v>
      </c>
      <c r="M180" s="117" t="s">
        <v>381</v>
      </c>
      <c r="N180" s="102" t="s">
        <v>1038</v>
      </c>
      <c r="O180" s="102" t="s">
        <v>1038</v>
      </c>
      <c r="P180" s="101" t="str">
        <f>IFERROR((0/0),"No aplica")</f>
        <v>No aplica</v>
      </c>
      <c r="Q180" s="101">
        <f>IFERROR((0/1),"No aplica")</f>
        <v>0</v>
      </c>
      <c r="R180" s="102" t="s">
        <v>697</v>
      </c>
      <c r="S180" s="106" t="s">
        <v>1044</v>
      </c>
      <c r="T180" s="106" t="s">
        <v>1043</v>
      </c>
      <c r="U180" s="107" t="s">
        <v>1042</v>
      </c>
      <c r="V180" s="117" t="s">
        <v>381</v>
      </c>
      <c r="W180" s="102" t="s">
        <v>381</v>
      </c>
      <c r="X180" s="102" t="s">
        <v>1038</v>
      </c>
      <c r="Y180" s="101">
        <f>IFERROR((0/1),"No aplica")</f>
        <v>0</v>
      </c>
      <c r="Z180" s="101">
        <f>IFERROR((0/1),"No aplica")</f>
        <v>0</v>
      </c>
      <c r="AA180" s="102" t="s">
        <v>703</v>
      </c>
      <c r="AB180" s="106" t="s">
        <v>1041</v>
      </c>
      <c r="AC180" s="106" t="s">
        <v>1040</v>
      </c>
      <c r="AD180" s="107" t="s">
        <v>1039</v>
      </c>
      <c r="AE180" s="117" t="s">
        <v>381</v>
      </c>
      <c r="AF180" s="102" t="s">
        <v>1038</v>
      </c>
      <c r="AG180" s="102" t="s">
        <v>1038</v>
      </c>
      <c r="AH180" s="101" t="str">
        <f>IFERROR((0/0),"No aplica")</f>
        <v>No aplica</v>
      </c>
      <c r="AI180" s="101">
        <f>IFERROR((0/1),"No aplica")</f>
        <v>0</v>
      </c>
      <c r="AJ180" s="102" t="s">
        <v>703</v>
      </c>
      <c r="AK180" s="106" t="s">
        <v>1037</v>
      </c>
      <c r="AL180" s="106" t="s">
        <v>1036</v>
      </c>
    </row>
    <row r="181" spans="1:38" ht="47.25" x14ac:dyDescent="0.25">
      <c r="A181" s="117"/>
      <c r="B181" s="102"/>
      <c r="C181" s="102"/>
      <c r="D181" s="102"/>
      <c r="E181" s="102"/>
      <c r="F181" s="123"/>
      <c r="G181" s="81" t="s">
        <v>382</v>
      </c>
      <c r="H181" s="20">
        <v>43734</v>
      </c>
      <c r="I181" s="20">
        <v>43756</v>
      </c>
      <c r="J181" s="46" t="s">
        <v>370</v>
      </c>
      <c r="K181" s="119"/>
      <c r="L181" s="102"/>
      <c r="M181" s="117"/>
      <c r="N181" s="102"/>
      <c r="O181" s="102"/>
      <c r="P181" s="101"/>
      <c r="Q181" s="101"/>
      <c r="R181" s="102"/>
      <c r="S181" s="106"/>
      <c r="T181" s="106"/>
      <c r="U181" s="107"/>
      <c r="V181" s="117"/>
      <c r="W181" s="102"/>
      <c r="X181" s="102"/>
      <c r="Y181" s="101"/>
      <c r="Z181" s="101"/>
      <c r="AA181" s="102"/>
      <c r="AB181" s="106"/>
      <c r="AC181" s="106"/>
      <c r="AD181" s="107"/>
      <c r="AE181" s="117"/>
      <c r="AF181" s="102"/>
      <c r="AG181" s="102"/>
      <c r="AH181" s="101"/>
      <c r="AI181" s="101"/>
      <c r="AJ181" s="102"/>
      <c r="AK181" s="106"/>
      <c r="AL181" s="106"/>
    </row>
    <row r="182" spans="1:38" ht="47.25" x14ac:dyDescent="0.25">
      <c r="A182" s="117"/>
      <c r="B182" s="102"/>
      <c r="C182" s="102"/>
      <c r="D182" s="102"/>
      <c r="E182" s="102"/>
      <c r="F182" s="123"/>
      <c r="G182" s="81" t="s">
        <v>383</v>
      </c>
      <c r="H182" s="20">
        <v>43759</v>
      </c>
      <c r="I182" s="20">
        <v>43768</v>
      </c>
      <c r="J182" s="46" t="s">
        <v>370</v>
      </c>
      <c r="K182" s="119"/>
      <c r="L182" s="102"/>
      <c r="M182" s="117"/>
      <c r="N182" s="102"/>
      <c r="O182" s="102"/>
      <c r="P182" s="101"/>
      <c r="Q182" s="101"/>
      <c r="R182" s="102"/>
      <c r="S182" s="106"/>
      <c r="T182" s="106"/>
      <c r="U182" s="107"/>
      <c r="V182" s="117"/>
      <c r="W182" s="102"/>
      <c r="X182" s="102"/>
      <c r="Y182" s="101"/>
      <c r="Z182" s="101"/>
      <c r="AA182" s="102"/>
      <c r="AB182" s="106"/>
      <c r="AC182" s="106"/>
      <c r="AD182" s="107"/>
      <c r="AE182" s="117"/>
      <c r="AF182" s="102"/>
      <c r="AG182" s="102"/>
      <c r="AH182" s="101"/>
      <c r="AI182" s="101"/>
      <c r="AJ182" s="102"/>
      <c r="AK182" s="106"/>
      <c r="AL182" s="106"/>
    </row>
    <row r="183" spans="1:38" ht="47.25" x14ac:dyDescent="0.25">
      <c r="A183" s="117"/>
      <c r="B183" s="102"/>
      <c r="C183" s="102"/>
      <c r="D183" s="102"/>
      <c r="E183" s="102"/>
      <c r="F183" s="102" t="s">
        <v>384</v>
      </c>
      <c r="G183" s="81" t="s">
        <v>385</v>
      </c>
      <c r="H183" s="20">
        <v>43769</v>
      </c>
      <c r="I183" s="20">
        <v>43788</v>
      </c>
      <c r="J183" s="46" t="s">
        <v>370</v>
      </c>
      <c r="K183" s="119"/>
      <c r="L183" s="102"/>
      <c r="M183" s="117"/>
      <c r="N183" s="102"/>
      <c r="O183" s="102"/>
      <c r="P183" s="101"/>
      <c r="Q183" s="101"/>
      <c r="R183" s="102"/>
      <c r="S183" s="106"/>
      <c r="T183" s="106"/>
      <c r="U183" s="107"/>
      <c r="V183" s="117"/>
      <c r="W183" s="102"/>
      <c r="X183" s="102"/>
      <c r="Y183" s="101"/>
      <c r="Z183" s="101"/>
      <c r="AA183" s="102"/>
      <c r="AB183" s="106"/>
      <c r="AC183" s="106"/>
      <c r="AD183" s="107"/>
      <c r="AE183" s="117"/>
      <c r="AF183" s="102"/>
      <c r="AG183" s="102"/>
      <c r="AH183" s="101"/>
      <c r="AI183" s="101"/>
      <c r="AJ183" s="102"/>
      <c r="AK183" s="106"/>
      <c r="AL183" s="106"/>
    </row>
    <row r="184" spans="1:38" ht="47.25" x14ac:dyDescent="0.25">
      <c r="A184" s="117"/>
      <c r="B184" s="102"/>
      <c r="C184" s="102"/>
      <c r="D184" s="102"/>
      <c r="E184" s="102"/>
      <c r="F184" s="102"/>
      <c r="G184" s="81" t="s">
        <v>386</v>
      </c>
      <c r="H184" s="20">
        <v>43794</v>
      </c>
      <c r="I184" s="20">
        <v>43808</v>
      </c>
      <c r="J184" s="46" t="s">
        <v>370</v>
      </c>
      <c r="K184" s="119"/>
      <c r="L184" s="102"/>
      <c r="M184" s="117"/>
      <c r="N184" s="102"/>
      <c r="O184" s="102"/>
      <c r="P184" s="101"/>
      <c r="Q184" s="101"/>
      <c r="R184" s="102"/>
      <c r="S184" s="106"/>
      <c r="T184" s="106"/>
      <c r="U184" s="107"/>
      <c r="V184" s="117"/>
      <c r="W184" s="102"/>
      <c r="X184" s="102"/>
      <c r="Y184" s="101"/>
      <c r="Z184" s="101"/>
      <c r="AA184" s="102"/>
      <c r="AB184" s="106"/>
      <c r="AC184" s="106"/>
      <c r="AD184" s="107"/>
      <c r="AE184" s="117"/>
      <c r="AF184" s="102"/>
      <c r="AG184" s="102"/>
      <c r="AH184" s="101"/>
      <c r="AI184" s="101"/>
      <c r="AJ184" s="102"/>
      <c r="AK184" s="106"/>
      <c r="AL184" s="106"/>
    </row>
    <row r="185" spans="1:38" ht="47.25" x14ac:dyDescent="0.25">
      <c r="A185" s="117"/>
      <c r="B185" s="102"/>
      <c r="C185" s="102"/>
      <c r="D185" s="102"/>
      <c r="E185" s="102"/>
      <c r="F185" s="102"/>
      <c r="G185" s="81" t="s">
        <v>387</v>
      </c>
      <c r="H185" s="21">
        <v>43809</v>
      </c>
      <c r="I185" s="21">
        <v>43620</v>
      </c>
      <c r="J185" s="46" t="s">
        <v>370</v>
      </c>
      <c r="K185" s="119"/>
      <c r="L185" s="102"/>
      <c r="M185" s="117"/>
      <c r="N185" s="102"/>
      <c r="O185" s="102"/>
      <c r="P185" s="101"/>
      <c r="Q185" s="101"/>
      <c r="R185" s="102"/>
      <c r="S185" s="106"/>
      <c r="T185" s="106"/>
      <c r="U185" s="107"/>
      <c r="V185" s="117"/>
      <c r="W185" s="102"/>
      <c r="X185" s="102"/>
      <c r="Y185" s="101"/>
      <c r="Z185" s="101"/>
      <c r="AA185" s="102"/>
      <c r="AB185" s="106"/>
      <c r="AC185" s="106"/>
      <c r="AD185" s="107"/>
      <c r="AE185" s="117"/>
      <c r="AF185" s="102"/>
      <c r="AG185" s="102"/>
      <c r="AH185" s="101"/>
      <c r="AI185" s="101"/>
      <c r="AJ185" s="102"/>
      <c r="AK185" s="106"/>
      <c r="AL185" s="106"/>
    </row>
    <row r="186" spans="1:38" ht="48.75" customHeight="1" x14ac:dyDescent="0.25">
      <c r="A186" s="102" t="s">
        <v>147</v>
      </c>
      <c r="B186" s="102" t="s">
        <v>333</v>
      </c>
      <c r="C186" s="102">
        <v>72</v>
      </c>
      <c r="D186" s="102" t="s">
        <v>388</v>
      </c>
      <c r="E186" s="102">
        <v>0</v>
      </c>
      <c r="F186" s="102" t="s">
        <v>389</v>
      </c>
      <c r="G186" s="22" t="s">
        <v>390</v>
      </c>
      <c r="H186" s="12">
        <v>43466</v>
      </c>
      <c r="I186" s="12">
        <v>43830</v>
      </c>
      <c r="J186" s="46" t="s">
        <v>370</v>
      </c>
      <c r="K186" s="80"/>
      <c r="L186" s="79"/>
      <c r="M186" s="141" t="s">
        <v>75</v>
      </c>
      <c r="N186" s="101" t="s">
        <v>75</v>
      </c>
      <c r="O186" s="101" t="s">
        <v>75</v>
      </c>
      <c r="P186" s="101" t="s">
        <v>75</v>
      </c>
      <c r="Q186" s="101" t="s">
        <v>75</v>
      </c>
      <c r="R186" s="101" t="s">
        <v>75</v>
      </c>
      <c r="S186" s="101" t="s">
        <v>75</v>
      </c>
      <c r="T186" s="101" t="s">
        <v>75</v>
      </c>
      <c r="U186" s="102" t="s">
        <v>697</v>
      </c>
      <c r="V186" s="156" t="s">
        <v>75</v>
      </c>
      <c r="W186" s="102" t="s">
        <v>697</v>
      </c>
      <c r="X186" s="102" t="s">
        <v>697</v>
      </c>
      <c r="Y186" s="102" t="s">
        <v>697</v>
      </c>
      <c r="Z186" s="102" t="s">
        <v>697</v>
      </c>
      <c r="AA186" s="102" t="s">
        <v>697</v>
      </c>
      <c r="AB186" s="102" t="s">
        <v>697</v>
      </c>
      <c r="AC186" s="102" t="s">
        <v>697</v>
      </c>
      <c r="AD186" s="102" t="s">
        <v>697</v>
      </c>
      <c r="AE186" s="151" t="s">
        <v>1035</v>
      </c>
      <c r="AF186" s="101" t="s">
        <v>1035</v>
      </c>
      <c r="AG186" s="101" t="s">
        <v>1034</v>
      </c>
      <c r="AH186" s="101">
        <f>IFERROR((88.28%/80%),"No aplica")</f>
        <v>1.1034999999999999</v>
      </c>
      <c r="AI186" s="101">
        <f>IFERROR((88.28%/80%),"No aplica")</f>
        <v>1.1034999999999999</v>
      </c>
      <c r="AJ186" s="154" t="s">
        <v>692</v>
      </c>
      <c r="AK186" s="106" t="s">
        <v>1033</v>
      </c>
      <c r="AL186" s="106" t="s">
        <v>1032</v>
      </c>
    </row>
    <row r="187" spans="1:38" ht="48.75" customHeight="1" x14ac:dyDescent="0.25">
      <c r="A187" s="102"/>
      <c r="B187" s="102"/>
      <c r="C187" s="102"/>
      <c r="D187" s="102"/>
      <c r="E187" s="102"/>
      <c r="F187" s="102"/>
      <c r="G187" s="22" t="s">
        <v>391</v>
      </c>
      <c r="H187" s="12">
        <v>43466</v>
      </c>
      <c r="I187" s="12">
        <v>43830</v>
      </c>
      <c r="J187" s="46" t="s">
        <v>370</v>
      </c>
      <c r="K187" s="80"/>
      <c r="L187" s="79"/>
      <c r="M187" s="117"/>
      <c r="N187" s="101"/>
      <c r="O187" s="101"/>
      <c r="P187" s="101"/>
      <c r="Q187" s="101"/>
      <c r="R187" s="101"/>
      <c r="S187" s="101"/>
      <c r="T187" s="101"/>
      <c r="U187" s="102"/>
      <c r="V187" s="157"/>
      <c r="W187" s="102"/>
      <c r="X187" s="102"/>
      <c r="Y187" s="102"/>
      <c r="Z187" s="102"/>
      <c r="AA187" s="102"/>
      <c r="AB187" s="102"/>
      <c r="AC187" s="102"/>
      <c r="AD187" s="102"/>
      <c r="AE187" s="152"/>
      <c r="AF187" s="102"/>
      <c r="AG187" s="102"/>
      <c r="AH187" s="102"/>
      <c r="AI187" s="153"/>
      <c r="AJ187" s="155"/>
      <c r="AK187" s="106"/>
      <c r="AL187" s="106"/>
    </row>
    <row r="188" spans="1:38" ht="48.75" customHeight="1" x14ac:dyDescent="0.25">
      <c r="A188" s="102"/>
      <c r="B188" s="102"/>
      <c r="C188" s="102"/>
      <c r="D188" s="102"/>
      <c r="E188" s="102"/>
      <c r="F188" s="102"/>
      <c r="G188" s="22" t="s">
        <v>392</v>
      </c>
      <c r="H188" s="12">
        <v>43466</v>
      </c>
      <c r="I188" s="12">
        <v>43830</v>
      </c>
      <c r="J188" s="46" t="s">
        <v>370</v>
      </c>
      <c r="K188" s="80"/>
      <c r="L188" s="79"/>
      <c r="M188" s="117"/>
      <c r="N188" s="101"/>
      <c r="O188" s="101"/>
      <c r="P188" s="101"/>
      <c r="Q188" s="101"/>
      <c r="R188" s="101"/>
      <c r="S188" s="101"/>
      <c r="T188" s="101"/>
      <c r="U188" s="102"/>
      <c r="V188" s="158"/>
      <c r="W188" s="102"/>
      <c r="X188" s="102"/>
      <c r="Y188" s="102"/>
      <c r="Z188" s="102"/>
      <c r="AA188" s="102"/>
      <c r="AB188" s="102"/>
      <c r="AC188" s="102"/>
      <c r="AD188" s="102"/>
      <c r="AE188" s="152"/>
      <c r="AF188" s="102"/>
      <c r="AG188" s="102"/>
      <c r="AH188" s="102"/>
      <c r="AI188" s="153"/>
      <c r="AJ188" s="155"/>
      <c r="AK188" s="106"/>
      <c r="AL188" s="106"/>
    </row>
    <row r="189" spans="1:38" x14ac:dyDescent="0.25">
      <c r="A189" s="38" t="s">
        <v>51</v>
      </c>
      <c r="B189" s="39" t="s">
        <v>51</v>
      </c>
      <c r="C189" s="39" t="s">
        <v>51</v>
      </c>
      <c r="D189" s="39" t="s">
        <v>51</v>
      </c>
      <c r="E189" s="39" t="s">
        <v>51</v>
      </c>
      <c r="F189" s="39" t="s">
        <v>51</v>
      </c>
      <c r="G189" s="44" t="s">
        <v>51</v>
      </c>
      <c r="H189" s="39" t="s">
        <v>51</v>
      </c>
      <c r="I189" s="39" t="s">
        <v>51</v>
      </c>
      <c r="J189" s="43" t="s">
        <v>51</v>
      </c>
      <c r="K189" s="42" t="s">
        <v>51</v>
      </c>
      <c r="L189" s="39" t="s">
        <v>51</v>
      </c>
      <c r="M189" s="38" t="s">
        <v>51</v>
      </c>
      <c r="N189" s="39"/>
      <c r="O189" s="39"/>
      <c r="P189" s="41"/>
      <c r="Q189" s="41"/>
      <c r="R189" s="39"/>
      <c r="S189" s="37"/>
      <c r="T189" s="37"/>
      <c r="U189" s="40"/>
      <c r="V189" s="38" t="s">
        <v>51</v>
      </c>
      <c r="W189" s="39"/>
      <c r="X189" s="39"/>
      <c r="Y189" s="39"/>
      <c r="Z189" s="39"/>
      <c r="AA189" s="38" t="s">
        <v>51</v>
      </c>
      <c r="AB189" s="37"/>
      <c r="AC189" s="37"/>
      <c r="AD189" s="40"/>
      <c r="AE189" s="38" t="s">
        <v>51</v>
      </c>
      <c r="AF189" s="39"/>
      <c r="AG189" s="39"/>
      <c r="AH189" s="39"/>
      <c r="AI189" s="39"/>
      <c r="AJ189" s="38" t="s">
        <v>51</v>
      </c>
      <c r="AK189" s="37"/>
      <c r="AL189" s="37"/>
    </row>
    <row r="190" spans="1:38" ht="31.5" customHeight="1" x14ac:dyDescent="0.25">
      <c r="A190" s="117" t="s">
        <v>52</v>
      </c>
      <c r="B190" s="102" t="s">
        <v>366</v>
      </c>
      <c r="C190" s="102">
        <v>41</v>
      </c>
      <c r="D190" s="102" t="s">
        <v>393</v>
      </c>
      <c r="E190" s="148">
        <v>0</v>
      </c>
      <c r="F190" s="102" t="s">
        <v>394</v>
      </c>
      <c r="G190" s="81" t="s">
        <v>395</v>
      </c>
      <c r="H190" s="20">
        <v>43466</v>
      </c>
      <c r="I190" s="20">
        <v>43554</v>
      </c>
      <c r="J190" s="46" t="s">
        <v>396</v>
      </c>
      <c r="K190" s="119" t="s">
        <v>353</v>
      </c>
      <c r="L190" s="102" t="s">
        <v>195</v>
      </c>
      <c r="M190" s="117" t="s">
        <v>397</v>
      </c>
      <c r="N190" s="102" t="s">
        <v>1023</v>
      </c>
      <c r="O190" s="102" t="s">
        <v>1031</v>
      </c>
      <c r="P190" s="108">
        <f>IFERROR((43%/60%),"No aplica")</f>
        <v>0.71666666666666667</v>
      </c>
      <c r="Q190" s="127" t="s">
        <v>750</v>
      </c>
      <c r="R190" s="102" t="s">
        <v>713</v>
      </c>
      <c r="S190" s="106" t="s">
        <v>1030</v>
      </c>
      <c r="T190" s="106" t="s">
        <v>1029</v>
      </c>
      <c r="U190" s="107" t="s">
        <v>1028</v>
      </c>
      <c r="V190" s="117" t="s">
        <v>1023</v>
      </c>
      <c r="W190" s="102" t="s">
        <v>1023</v>
      </c>
      <c r="X190" s="102" t="s">
        <v>1027</v>
      </c>
      <c r="Y190" s="101">
        <f>IFERROR((87%/60%),"No aplica")</f>
        <v>1.45</v>
      </c>
      <c r="Z190" s="127" t="s">
        <v>750</v>
      </c>
      <c r="AA190" s="102" t="s">
        <v>803</v>
      </c>
      <c r="AB190" s="106" t="s">
        <v>1026</v>
      </c>
      <c r="AC190" s="106" t="s">
        <v>1025</v>
      </c>
      <c r="AD190" s="107" t="s">
        <v>1024</v>
      </c>
      <c r="AE190" s="117" t="s">
        <v>1023</v>
      </c>
      <c r="AF190" s="102" t="s">
        <v>1023</v>
      </c>
      <c r="AG190" s="102" t="s">
        <v>1022</v>
      </c>
      <c r="AH190" s="101">
        <f>IFERROR((88%/60%),"No aplica")</f>
        <v>1.4666666666666668</v>
      </c>
      <c r="AI190" s="127" t="s">
        <v>1021</v>
      </c>
      <c r="AJ190" s="102" t="s">
        <v>803</v>
      </c>
      <c r="AK190" s="106" t="s">
        <v>1020</v>
      </c>
      <c r="AL190" s="106" t="s">
        <v>1019</v>
      </c>
    </row>
    <row r="191" spans="1:38" ht="31.5" x14ac:dyDescent="0.25">
      <c r="A191" s="117"/>
      <c r="B191" s="102"/>
      <c r="C191" s="102"/>
      <c r="D191" s="102"/>
      <c r="E191" s="148"/>
      <c r="F191" s="102"/>
      <c r="G191" s="81" t="s">
        <v>398</v>
      </c>
      <c r="H191" s="20">
        <v>43466</v>
      </c>
      <c r="I191" s="20">
        <v>43830</v>
      </c>
      <c r="J191" s="46" t="s">
        <v>396</v>
      </c>
      <c r="K191" s="119"/>
      <c r="L191" s="102"/>
      <c r="M191" s="117"/>
      <c r="N191" s="102"/>
      <c r="O191" s="102"/>
      <c r="P191" s="108"/>
      <c r="Q191" s="127"/>
      <c r="R191" s="102"/>
      <c r="S191" s="106"/>
      <c r="T191" s="106"/>
      <c r="U191" s="107"/>
      <c r="V191" s="117"/>
      <c r="W191" s="102"/>
      <c r="X191" s="102"/>
      <c r="Y191" s="101"/>
      <c r="Z191" s="127"/>
      <c r="AA191" s="102"/>
      <c r="AB191" s="106"/>
      <c r="AC191" s="106"/>
      <c r="AD191" s="107"/>
      <c r="AE191" s="117"/>
      <c r="AF191" s="102"/>
      <c r="AG191" s="102"/>
      <c r="AH191" s="101"/>
      <c r="AI191" s="127"/>
      <c r="AJ191" s="102"/>
      <c r="AK191" s="106"/>
      <c r="AL191" s="106"/>
    </row>
    <row r="192" spans="1:38" ht="31.5" customHeight="1" x14ac:dyDescent="0.25">
      <c r="A192" s="117"/>
      <c r="B192" s="102"/>
      <c r="C192" s="102"/>
      <c r="D192" s="102"/>
      <c r="E192" s="148"/>
      <c r="F192" s="102" t="s">
        <v>399</v>
      </c>
      <c r="G192" s="81" t="s">
        <v>400</v>
      </c>
      <c r="H192" s="20">
        <v>43617</v>
      </c>
      <c r="I192" s="20">
        <v>43830</v>
      </c>
      <c r="J192" s="46" t="s">
        <v>396</v>
      </c>
      <c r="K192" s="119"/>
      <c r="L192" s="102"/>
      <c r="M192" s="117"/>
      <c r="N192" s="102"/>
      <c r="O192" s="102"/>
      <c r="P192" s="108"/>
      <c r="Q192" s="127"/>
      <c r="R192" s="102"/>
      <c r="S192" s="106"/>
      <c r="T192" s="106"/>
      <c r="U192" s="107"/>
      <c r="V192" s="117"/>
      <c r="W192" s="102"/>
      <c r="X192" s="102"/>
      <c r="Y192" s="101"/>
      <c r="Z192" s="127"/>
      <c r="AA192" s="102"/>
      <c r="AB192" s="106"/>
      <c r="AC192" s="106"/>
      <c r="AD192" s="107"/>
      <c r="AE192" s="117"/>
      <c r="AF192" s="102"/>
      <c r="AG192" s="102"/>
      <c r="AH192" s="101"/>
      <c r="AI192" s="127"/>
      <c r="AJ192" s="102"/>
      <c r="AK192" s="106"/>
      <c r="AL192" s="106"/>
    </row>
    <row r="193" spans="1:38" ht="31.5" x14ac:dyDescent="0.25">
      <c r="A193" s="117"/>
      <c r="B193" s="102"/>
      <c r="C193" s="102"/>
      <c r="D193" s="102"/>
      <c r="E193" s="148"/>
      <c r="F193" s="102"/>
      <c r="G193" s="81" t="s">
        <v>401</v>
      </c>
      <c r="H193" s="20">
        <v>43466</v>
      </c>
      <c r="I193" s="20">
        <v>43616</v>
      </c>
      <c r="J193" s="46" t="s">
        <v>396</v>
      </c>
      <c r="K193" s="119"/>
      <c r="L193" s="102"/>
      <c r="M193" s="117"/>
      <c r="N193" s="102"/>
      <c r="O193" s="102"/>
      <c r="P193" s="108"/>
      <c r="Q193" s="127"/>
      <c r="R193" s="102"/>
      <c r="S193" s="106"/>
      <c r="T193" s="106"/>
      <c r="U193" s="107"/>
      <c r="V193" s="117"/>
      <c r="W193" s="102"/>
      <c r="X193" s="102"/>
      <c r="Y193" s="101"/>
      <c r="Z193" s="127"/>
      <c r="AA193" s="102"/>
      <c r="AB193" s="106"/>
      <c r="AC193" s="106"/>
      <c r="AD193" s="107"/>
      <c r="AE193" s="117"/>
      <c r="AF193" s="102"/>
      <c r="AG193" s="102"/>
      <c r="AH193" s="101"/>
      <c r="AI193" s="127"/>
      <c r="AJ193" s="102"/>
      <c r="AK193" s="106"/>
      <c r="AL193" s="106"/>
    </row>
    <row r="194" spans="1:38" ht="31.5" x14ac:dyDescent="0.25">
      <c r="A194" s="117"/>
      <c r="B194" s="102"/>
      <c r="C194" s="102"/>
      <c r="D194" s="102"/>
      <c r="E194" s="148"/>
      <c r="F194" s="102"/>
      <c r="G194" s="81" t="s">
        <v>402</v>
      </c>
      <c r="H194" s="20">
        <v>43466</v>
      </c>
      <c r="I194" s="20">
        <v>43646</v>
      </c>
      <c r="J194" s="46" t="s">
        <v>396</v>
      </c>
      <c r="K194" s="119"/>
      <c r="L194" s="102"/>
      <c r="M194" s="117"/>
      <c r="N194" s="102"/>
      <c r="O194" s="102"/>
      <c r="P194" s="108"/>
      <c r="Q194" s="127"/>
      <c r="R194" s="102"/>
      <c r="S194" s="106"/>
      <c r="T194" s="106"/>
      <c r="U194" s="107"/>
      <c r="V194" s="117"/>
      <c r="W194" s="102"/>
      <c r="X194" s="102"/>
      <c r="Y194" s="101"/>
      <c r="Z194" s="127"/>
      <c r="AA194" s="102"/>
      <c r="AB194" s="106"/>
      <c r="AC194" s="106"/>
      <c r="AD194" s="107"/>
      <c r="AE194" s="117"/>
      <c r="AF194" s="102"/>
      <c r="AG194" s="102"/>
      <c r="AH194" s="101"/>
      <c r="AI194" s="127"/>
      <c r="AJ194" s="102"/>
      <c r="AK194" s="106"/>
      <c r="AL194" s="106"/>
    </row>
    <row r="195" spans="1:38" ht="47.25" x14ac:dyDescent="0.25">
      <c r="A195" s="117"/>
      <c r="B195" s="102"/>
      <c r="C195" s="102"/>
      <c r="D195" s="102"/>
      <c r="E195" s="148"/>
      <c r="F195" s="102"/>
      <c r="G195" s="81" t="s">
        <v>403</v>
      </c>
      <c r="H195" s="20">
        <v>43647</v>
      </c>
      <c r="I195" s="20">
        <v>43830</v>
      </c>
      <c r="J195" s="46" t="s">
        <v>396</v>
      </c>
      <c r="K195" s="119"/>
      <c r="L195" s="102"/>
      <c r="M195" s="117"/>
      <c r="N195" s="102"/>
      <c r="O195" s="102"/>
      <c r="P195" s="108"/>
      <c r="Q195" s="127"/>
      <c r="R195" s="102"/>
      <c r="S195" s="106"/>
      <c r="T195" s="106"/>
      <c r="U195" s="107"/>
      <c r="V195" s="117"/>
      <c r="W195" s="102"/>
      <c r="X195" s="102"/>
      <c r="Y195" s="101"/>
      <c r="Z195" s="127"/>
      <c r="AA195" s="102"/>
      <c r="AB195" s="106"/>
      <c r="AC195" s="106"/>
      <c r="AD195" s="107"/>
      <c r="AE195" s="117"/>
      <c r="AF195" s="102"/>
      <c r="AG195" s="102"/>
      <c r="AH195" s="101"/>
      <c r="AI195" s="127"/>
      <c r="AJ195" s="102"/>
      <c r="AK195" s="106"/>
      <c r="AL195" s="106"/>
    </row>
    <row r="196" spans="1:38" ht="31.5" customHeight="1" x14ac:dyDescent="0.25">
      <c r="A196" s="117"/>
      <c r="B196" s="102"/>
      <c r="C196" s="102"/>
      <c r="D196" s="102"/>
      <c r="E196" s="148"/>
      <c r="F196" s="102" t="s">
        <v>404</v>
      </c>
      <c r="G196" s="81" t="s">
        <v>405</v>
      </c>
      <c r="H196" s="20">
        <v>43466</v>
      </c>
      <c r="I196" s="20">
        <v>43830</v>
      </c>
      <c r="J196" s="46" t="s">
        <v>396</v>
      </c>
      <c r="K196" s="119"/>
      <c r="L196" s="102"/>
      <c r="M196" s="117"/>
      <c r="N196" s="102"/>
      <c r="O196" s="102"/>
      <c r="P196" s="108"/>
      <c r="Q196" s="127"/>
      <c r="R196" s="102"/>
      <c r="S196" s="106"/>
      <c r="T196" s="106"/>
      <c r="U196" s="107"/>
      <c r="V196" s="117"/>
      <c r="W196" s="102"/>
      <c r="X196" s="102"/>
      <c r="Y196" s="101"/>
      <c r="Z196" s="127"/>
      <c r="AA196" s="102"/>
      <c r="AB196" s="106"/>
      <c r="AC196" s="106"/>
      <c r="AD196" s="107"/>
      <c r="AE196" s="117"/>
      <c r="AF196" s="102"/>
      <c r="AG196" s="102"/>
      <c r="AH196" s="101"/>
      <c r="AI196" s="127"/>
      <c r="AJ196" s="102"/>
      <c r="AK196" s="106"/>
      <c r="AL196" s="106"/>
    </row>
    <row r="197" spans="1:38" ht="31.5" x14ac:dyDescent="0.25">
      <c r="A197" s="117"/>
      <c r="B197" s="102"/>
      <c r="C197" s="102"/>
      <c r="D197" s="102"/>
      <c r="E197" s="148"/>
      <c r="F197" s="102"/>
      <c r="G197" s="81" t="s">
        <v>406</v>
      </c>
      <c r="H197" s="20">
        <v>43466</v>
      </c>
      <c r="I197" s="20" t="s">
        <v>407</v>
      </c>
      <c r="J197" s="46" t="s">
        <v>396</v>
      </c>
      <c r="K197" s="119"/>
      <c r="L197" s="102"/>
      <c r="M197" s="117"/>
      <c r="N197" s="102"/>
      <c r="O197" s="102"/>
      <c r="P197" s="108"/>
      <c r="Q197" s="127"/>
      <c r="R197" s="102"/>
      <c r="S197" s="106"/>
      <c r="T197" s="106"/>
      <c r="U197" s="107"/>
      <c r="V197" s="117"/>
      <c r="W197" s="102"/>
      <c r="X197" s="102"/>
      <c r="Y197" s="101"/>
      <c r="Z197" s="127"/>
      <c r="AA197" s="102"/>
      <c r="AB197" s="106"/>
      <c r="AC197" s="106"/>
      <c r="AD197" s="107"/>
      <c r="AE197" s="117"/>
      <c r="AF197" s="102"/>
      <c r="AG197" s="102"/>
      <c r="AH197" s="101"/>
      <c r="AI197" s="127"/>
      <c r="AJ197" s="102"/>
      <c r="AK197" s="106"/>
      <c r="AL197" s="106"/>
    </row>
    <row r="198" spans="1:38" ht="31.5" customHeight="1" x14ac:dyDescent="0.25">
      <c r="A198" s="117"/>
      <c r="B198" s="102"/>
      <c r="C198" s="102"/>
      <c r="D198" s="102"/>
      <c r="E198" s="148"/>
      <c r="F198" s="102" t="s">
        <v>408</v>
      </c>
      <c r="G198" s="81" t="s">
        <v>409</v>
      </c>
      <c r="H198" s="20">
        <v>43480</v>
      </c>
      <c r="I198" s="20">
        <v>43585</v>
      </c>
      <c r="J198" s="46" t="s">
        <v>396</v>
      </c>
      <c r="K198" s="119"/>
      <c r="L198" s="102"/>
      <c r="M198" s="117"/>
      <c r="N198" s="102"/>
      <c r="O198" s="102"/>
      <c r="P198" s="108"/>
      <c r="Q198" s="127"/>
      <c r="R198" s="102"/>
      <c r="S198" s="106"/>
      <c r="T198" s="106"/>
      <c r="U198" s="107"/>
      <c r="V198" s="117"/>
      <c r="W198" s="102"/>
      <c r="X198" s="102"/>
      <c r="Y198" s="101"/>
      <c r="Z198" s="127"/>
      <c r="AA198" s="102"/>
      <c r="AB198" s="106"/>
      <c r="AC198" s="106"/>
      <c r="AD198" s="107"/>
      <c r="AE198" s="117"/>
      <c r="AF198" s="102"/>
      <c r="AG198" s="102"/>
      <c r="AH198" s="101"/>
      <c r="AI198" s="127"/>
      <c r="AJ198" s="102"/>
      <c r="AK198" s="106"/>
      <c r="AL198" s="106"/>
    </row>
    <row r="199" spans="1:38" ht="31.5" x14ac:dyDescent="0.25">
      <c r="A199" s="117"/>
      <c r="B199" s="102"/>
      <c r="C199" s="102"/>
      <c r="D199" s="102"/>
      <c r="E199" s="148"/>
      <c r="F199" s="102"/>
      <c r="G199" s="81" t="s">
        <v>410</v>
      </c>
      <c r="H199" s="20">
        <v>43480</v>
      </c>
      <c r="I199" s="20">
        <v>43830</v>
      </c>
      <c r="J199" s="46" t="s">
        <v>396</v>
      </c>
      <c r="K199" s="119"/>
      <c r="L199" s="102"/>
      <c r="M199" s="117"/>
      <c r="N199" s="102"/>
      <c r="O199" s="102"/>
      <c r="P199" s="108"/>
      <c r="Q199" s="127"/>
      <c r="R199" s="102"/>
      <c r="S199" s="106"/>
      <c r="T199" s="106"/>
      <c r="U199" s="107"/>
      <c r="V199" s="117"/>
      <c r="W199" s="102"/>
      <c r="X199" s="102"/>
      <c r="Y199" s="101"/>
      <c r="Z199" s="127"/>
      <c r="AA199" s="102"/>
      <c r="AB199" s="106"/>
      <c r="AC199" s="106"/>
      <c r="AD199" s="107"/>
      <c r="AE199" s="117"/>
      <c r="AF199" s="102"/>
      <c r="AG199" s="102"/>
      <c r="AH199" s="101"/>
      <c r="AI199" s="127"/>
      <c r="AJ199" s="102"/>
      <c r="AK199" s="106"/>
      <c r="AL199" s="106"/>
    </row>
    <row r="200" spans="1:38" ht="31.5" x14ac:dyDescent="0.25">
      <c r="A200" s="117"/>
      <c r="B200" s="102"/>
      <c r="C200" s="102"/>
      <c r="D200" s="102"/>
      <c r="E200" s="148"/>
      <c r="F200" s="102"/>
      <c r="G200" s="81" t="s">
        <v>411</v>
      </c>
      <c r="H200" s="20">
        <v>43480</v>
      </c>
      <c r="I200" s="20">
        <v>43830</v>
      </c>
      <c r="J200" s="46" t="s">
        <v>396</v>
      </c>
      <c r="K200" s="119"/>
      <c r="L200" s="102"/>
      <c r="M200" s="117"/>
      <c r="N200" s="102"/>
      <c r="O200" s="102"/>
      <c r="P200" s="108"/>
      <c r="Q200" s="127"/>
      <c r="R200" s="102"/>
      <c r="S200" s="106"/>
      <c r="T200" s="106"/>
      <c r="U200" s="107"/>
      <c r="V200" s="117"/>
      <c r="W200" s="102"/>
      <c r="X200" s="102"/>
      <c r="Y200" s="101"/>
      <c r="Z200" s="127"/>
      <c r="AA200" s="102"/>
      <c r="AB200" s="106"/>
      <c r="AC200" s="106"/>
      <c r="AD200" s="107"/>
      <c r="AE200" s="117"/>
      <c r="AF200" s="102"/>
      <c r="AG200" s="102"/>
      <c r="AH200" s="101"/>
      <c r="AI200" s="127"/>
      <c r="AJ200" s="102"/>
      <c r="AK200" s="106"/>
      <c r="AL200" s="106"/>
    </row>
    <row r="201" spans="1:38" ht="50.25" customHeight="1" x14ac:dyDescent="0.25">
      <c r="A201" s="117"/>
      <c r="B201" s="102"/>
      <c r="C201" s="102"/>
      <c r="D201" s="102"/>
      <c r="E201" s="148"/>
      <c r="F201" s="102" t="s">
        <v>412</v>
      </c>
      <c r="G201" s="81" t="s">
        <v>413</v>
      </c>
      <c r="H201" s="20">
        <v>43466</v>
      </c>
      <c r="I201" s="20">
        <v>43830</v>
      </c>
      <c r="J201" s="46" t="s">
        <v>396</v>
      </c>
      <c r="K201" s="119"/>
      <c r="L201" s="102"/>
      <c r="M201" s="117"/>
      <c r="N201" s="102"/>
      <c r="O201" s="102"/>
      <c r="P201" s="108"/>
      <c r="Q201" s="127"/>
      <c r="R201" s="102"/>
      <c r="S201" s="106"/>
      <c r="T201" s="106"/>
      <c r="U201" s="107"/>
      <c r="V201" s="117"/>
      <c r="W201" s="102"/>
      <c r="X201" s="102"/>
      <c r="Y201" s="101"/>
      <c r="Z201" s="127"/>
      <c r="AA201" s="102"/>
      <c r="AB201" s="106"/>
      <c r="AC201" s="106"/>
      <c r="AD201" s="107"/>
      <c r="AE201" s="117"/>
      <c r="AF201" s="102"/>
      <c r="AG201" s="102"/>
      <c r="AH201" s="101"/>
      <c r="AI201" s="127"/>
      <c r="AJ201" s="102"/>
      <c r="AK201" s="106"/>
      <c r="AL201" s="106"/>
    </row>
    <row r="202" spans="1:38" ht="48" customHeight="1" x14ac:dyDescent="0.25">
      <c r="A202" s="117"/>
      <c r="B202" s="102"/>
      <c r="C202" s="102"/>
      <c r="D202" s="102"/>
      <c r="E202" s="148"/>
      <c r="F202" s="102"/>
      <c r="G202" s="81" t="s">
        <v>414</v>
      </c>
      <c r="H202" s="20">
        <v>43620</v>
      </c>
      <c r="I202" s="20">
        <v>43708</v>
      </c>
      <c r="J202" s="46" t="s">
        <v>396</v>
      </c>
      <c r="K202" s="119"/>
      <c r="L202" s="102"/>
      <c r="M202" s="117"/>
      <c r="N202" s="102"/>
      <c r="O202" s="102"/>
      <c r="P202" s="108"/>
      <c r="Q202" s="127"/>
      <c r="R202" s="102"/>
      <c r="S202" s="106"/>
      <c r="T202" s="106"/>
      <c r="U202" s="107"/>
      <c r="V202" s="117"/>
      <c r="W202" s="102"/>
      <c r="X202" s="102"/>
      <c r="Y202" s="101"/>
      <c r="Z202" s="127"/>
      <c r="AA202" s="102"/>
      <c r="AB202" s="106"/>
      <c r="AC202" s="106"/>
      <c r="AD202" s="107"/>
      <c r="AE202" s="117"/>
      <c r="AF202" s="102"/>
      <c r="AG202" s="102"/>
      <c r="AH202" s="101"/>
      <c r="AI202" s="127"/>
      <c r="AJ202" s="102"/>
      <c r="AK202" s="106"/>
      <c r="AL202" s="106"/>
    </row>
    <row r="203" spans="1:38" s="23" customFormat="1" ht="47.25" x14ac:dyDescent="0.25">
      <c r="A203" s="117"/>
      <c r="B203" s="102"/>
      <c r="C203" s="102"/>
      <c r="D203" s="102"/>
      <c r="E203" s="148"/>
      <c r="F203" s="102"/>
      <c r="G203" s="81" t="s">
        <v>415</v>
      </c>
      <c r="H203" s="20">
        <v>43620</v>
      </c>
      <c r="I203" s="20">
        <v>43708</v>
      </c>
      <c r="J203" s="46" t="s">
        <v>396</v>
      </c>
      <c r="K203" s="119"/>
      <c r="L203" s="102"/>
      <c r="M203" s="117"/>
      <c r="N203" s="102"/>
      <c r="O203" s="102"/>
      <c r="P203" s="108"/>
      <c r="Q203" s="127"/>
      <c r="R203" s="102"/>
      <c r="S203" s="106"/>
      <c r="T203" s="106"/>
      <c r="U203" s="107"/>
      <c r="V203" s="117"/>
      <c r="W203" s="102"/>
      <c r="X203" s="102"/>
      <c r="Y203" s="101"/>
      <c r="Z203" s="127"/>
      <c r="AA203" s="102"/>
      <c r="AB203" s="106"/>
      <c r="AC203" s="106"/>
      <c r="AD203" s="107"/>
      <c r="AE203" s="117"/>
      <c r="AF203" s="102"/>
      <c r="AG203" s="102"/>
      <c r="AH203" s="101"/>
      <c r="AI203" s="127"/>
      <c r="AJ203" s="102"/>
      <c r="AK203" s="106"/>
      <c r="AL203" s="106"/>
    </row>
    <row r="204" spans="1:38" ht="31.5" customHeight="1" x14ac:dyDescent="0.25">
      <c r="A204" s="117"/>
      <c r="B204" s="102"/>
      <c r="C204" s="102"/>
      <c r="D204" s="102"/>
      <c r="E204" s="148"/>
      <c r="F204" s="102"/>
      <c r="G204" s="81" t="s">
        <v>416</v>
      </c>
      <c r="H204" s="20">
        <v>43710</v>
      </c>
      <c r="I204" s="20">
        <v>43830</v>
      </c>
      <c r="J204" s="46" t="s">
        <v>396</v>
      </c>
      <c r="K204" s="119"/>
      <c r="L204" s="102"/>
      <c r="M204" s="117"/>
      <c r="N204" s="102"/>
      <c r="O204" s="102"/>
      <c r="P204" s="108"/>
      <c r="Q204" s="127"/>
      <c r="R204" s="102"/>
      <c r="S204" s="106"/>
      <c r="T204" s="106"/>
      <c r="U204" s="107"/>
      <c r="V204" s="117"/>
      <c r="W204" s="102"/>
      <c r="X204" s="102"/>
      <c r="Y204" s="101"/>
      <c r="Z204" s="127"/>
      <c r="AA204" s="102"/>
      <c r="AB204" s="106"/>
      <c r="AC204" s="106"/>
      <c r="AD204" s="107"/>
      <c r="AE204" s="117"/>
      <c r="AF204" s="102"/>
      <c r="AG204" s="102"/>
      <c r="AH204" s="101"/>
      <c r="AI204" s="127"/>
      <c r="AJ204" s="102"/>
      <c r="AK204" s="106"/>
      <c r="AL204" s="106"/>
    </row>
    <row r="205" spans="1:38" ht="47.25" x14ac:dyDescent="0.25">
      <c r="A205" s="117"/>
      <c r="B205" s="102"/>
      <c r="C205" s="102"/>
      <c r="D205" s="102"/>
      <c r="E205" s="148"/>
      <c r="F205" s="102" t="s">
        <v>417</v>
      </c>
      <c r="G205" s="81" t="s">
        <v>418</v>
      </c>
      <c r="H205" s="20">
        <v>43466</v>
      </c>
      <c r="I205" s="20">
        <v>43830</v>
      </c>
      <c r="J205" s="46" t="s">
        <v>396</v>
      </c>
      <c r="K205" s="119"/>
      <c r="L205" s="102"/>
      <c r="M205" s="117"/>
      <c r="N205" s="102"/>
      <c r="O205" s="102"/>
      <c r="P205" s="108"/>
      <c r="Q205" s="127"/>
      <c r="R205" s="102"/>
      <c r="S205" s="106"/>
      <c r="T205" s="106"/>
      <c r="U205" s="107"/>
      <c r="V205" s="117"/>
      <c r="W205" s="102"/>
      <c r="X205" s="102"/>
      <c r="Y205" s="101"/>
      <c r="Z205" s="127"/>
      <c r="AA205" s="102"/>
      <c r="AB205" s="106"/>
      <c r="AC205" s="106"/>
      <c r="AD205" s="107"/>
      <c r="AE205" s="117"/>
      <c r="AF205" s="102"/>
      <c r="AG205" s="102"/>
      <c r="AH205" s="101"/>
      <c r="AI205" s="127"/>
      <c r="AJ205" s="102"/>
      <c r="AK205" s="106"/>
      <c r="AL205" s="106"/>
    </row>
    <row r="206" spans="1:38" ht="31.5" x14ac:dyDescent="0.25">
      <c r="A206" s="117"/>
      <c r="B206" s="102"/>
      <c r="C206" s="102"/>
      <c r="D206" s="102"/>
      <c r="E206" s="148"/>
      <c r="F206" s="102"/>
      <c r="G206" s="81" t="s">
        <v>419</v>
      </c>
      <c r="H206" s="20">
        <v>43620</v>
      </c>
      <c r="I206" s="20">
        <v>43708</v>
      </c>
      <c r="J206" s="46" t="s">
        <v>396</v>
      </c>
      <c r="K206" s="119"/>
      <c r="L206" s="102"/>
      <c r="M206" s="117"/>
      <c r="N206" s="102"/>
      <c r="O206" s="102"/>
      <c r="P206" s="108"/>
      <c r="Q206" s="127"/>
      <c r="R206" s="102"/>
      <c r="S206" s="106"/>
      <c r="T206" s="106"/>
      <c r="U206" s="107"/>
      <c r="V206" s="117"/>
      <c r="W206" s="102"/>
      <c r="X206" s="102"/>
      <c r="Y206" s="101"/>
      <c r="Z206" s="127"/>
      <c r="AA206" s="102"/>
      <c r="AB206" s="106"/>
      <c r="AC206" s="106"/>
      <c r="AD206" s="107"/>
      <c r="AE206" s="117"/>
      <c r="AF206" s="102"/>
      <c r="AG206" s="102"/>
      <c r="AH206" s="101"/>
      <c r="AI206" s="127"/>
      <c r="AJ206" s="102"/>
      <c r="AK206" s="106"/>
      <c r="AL206" s="106"/>
    </row>
    <row r="207" spans="1:38" ht="31.5" customHeight="1" x14ac:dyDescent="0.25">
      <c r="A207" s="117"/>
      <c r="B207" s="102"/>
      <c r="C207" s="102"/>
      <c r="D207" s="102"/>
      <c r="E207" s="148"/>
      <c r="F207" s="102"/>
      <c r="G207" s="81" t="s">
        <v>420</v>
      </c>
      <c r="H207" s="20">
        <v>43710</v>
      </c>
      <c r="I207" s="20">
        <v>43830</v>
      </c>
      <c r="J207" s="46" t="s">
        <v>396</v>
      </c>
      <c r="K207" s="119"/>
      <c r="L207" s="102"/>
      <c r="M207" s="117"/>
      <c r="N207" s="102"/>
      <c r="O207" s="102"/>
      <c r="P207" s="108"/>
      <c r="Q207" s="127"/>
      <c r="R207" s="102"/>
      <c r="S207" s="106"/>
      <c r="T207" s="106"/>
      <c r="U207" s="107"/>
      <c r="V207" s="117"/>
      <c r="W207" s="102"/>
      <c r="X207" s="102"/>
      <c r="Y207" s="101"/>
      <c r="Z207" s="127"/>
      <c r="AA207" s="102"/>
      <c r="AB207" s="106"/>
      <c r="AC207" s="106"/>
      <c r="AD207" s="107"/>
      <c r="AE207" s="117"/>
      <c r="AF207" s="102"/>
      <c r="AG207" s="102"/>
      <c r="AH207" s="101"/>
      <c r="AI207" s="127"/>
      <c r="AJ207" s="102"/>
      <c r="AK207" s="106"/>
      <c r="AL207" s="106"/>
    </row>
    <row r="208" spans="1:38" ht="50.25" customHeight="1" x14ac:dyDescent="0.25">
      <c r="A208" s="132" t="s">
        <v>52</v>
      </c>
      <c r="B208" s="133" t="s">
        <v>366</v>
      </c>
      <c r="C208" s="133">
        <v>42</v>
      </c>
      <c r="D208" s="133" t="s">
        <v>421</v>
      </c>
      <c r="E208" s="133">
        <v>0</v>
      </c>
      <c r="F208" s="133" t="s">
        <v>422</v>
      </c>
      <c r="G208" s="16" t="s">
        <v>423</v>
      </c>
      <c r="H208" s="84">
        <v>43647</v>
      </c>
      <c r="I208" s="84">
        <v>43708</v>
      </c>
      <c r="J208" s="47" t="s">
        <v>396</v>
      </c>
      <c r="K208" s="119" t="s">
        <v>353</v>
      </c>
      <c r="L208" s="102" t="s">
        <v>195</v>
      </c>
      <c r="M208" s="117" t="s">
        <v>424</v>
      </c>
      <c r="N208" s="102" t="s">
        <v>1018</v>
      </c>
      <c r="O208" s="102" t="s">
        <v>1018</v>
      </c>
      <c r="P208" s="101" t="str">
        <f>IFERROR((0/0),"No aplica")</f>
        <v>No aplica</v>
      </c>
      <c r="Q208" s="101">
        <f>IFERROR((0/2),"No aplica")</f>
        <v>0</v>
      </c>
      <c r="R208" s="102" t="s">
        <v>697</v>
      </c>
      <c r="S208" s="106" t="s">
        <v>1017</v>
      </c>
      <c r="T208" s="106" t="s">
        <v>1016</v>
      </c>
      <c r="U208" s="107" t="s">
        <v>1015</v>
      </c>
      <c r="V208" s="117" t="s">
        <v>1011</v>
      </c>
      <c r="W208" s="102" t="s">
        <v>1010</v>
      </c>
      <c r="X208" s="102" t="s">
        <v>1010</v>
      </c>
      <c r="Y208" s="101" t="str">
        <f>IFERROR((0/0),"No aplica")</f>
        <v>No aplica</v>
      </c>
      <c r="Z208" s="101">
        <f>IFERROR((0/2),"No aplica")</f>
        <v>0</v>
      </c>
      <c r="AA208" s="102" t="s">
        <v>697</v>
      </c>
      <c r="AB208" s="106" t="s">
        <v>1014</v>
      </c>
      <c r="AC208" s="106" t="s">
        <v>1013</v>
      </c>
      <c r="AD208" s="107" t="s">
        <v>1012</v>
      </c>
      <c r="AE208" s="117" t="s">
        <v>1011</v>
      </c>
      <c r="AF208" s="102" t="s">
        <v>1010</v>
      </c>
      <c r="AG208" s="102" t="s">
        <v>1010</v>
      </c>
      <c r="AH208" s="101" t="str">
        <f>IFERROR((0/0),"No aplica")</f>
        <v>No aplica</v>
      </c>
      <c r="AI208" s="101">
        <f>IFERROR((0/2),"No aplica")</f>
        <v>0</v>
      </c>
      <c r="AJ208" s="102" t="s">
        <v>697</v>
      </c>
      <c r="AK208" s="106" t="s">
        <v>1009</v>
      </c>
      <c r="AL208" s="106" t="s">
        <v>1008</v>
      </c>
    </row>
    <row r="209" spans="1:38" ht="50.25" customHeight="1" x14ac:dyDescent="0.25">
      <c r="A209" s="132"/>
      <c r="B209" s="133"/>
      <c r="C209" s="133"/>
      <c r="D209" s="133"/>
      <c r="E209" s="133"/>
      <c r="F209" s="133"/>
      <c r="G209" s="16" t="s">
        <v>425</v>
      </c>
      <c r="H209" s="84">
        <v>43709</v>
      </c>
      <c r="I209" s="84">
        <v>43769</v>
      </c>
      <c r="J209" s="47" t="s">
        <v>396</v>
      </c>
      <c r="K209" s="119"/>
      <c r="L209" s="102"/>
      <c r="M209" s="117"/>
      <c r="N209" s="102"/>
      <c r="O209" s="102"/>
      <c r="P209" s="101"/>
      <c r="Q209" s="101"/>
      <c r="R209" s="102"/>
      <c r="S209" s="106"/>
      <c r="T209" s="106"/>
      <c r="U209" s="107"/>
      <c r="V209" s="117"/>
      <c r="W209" s="102"/>
      <c r="X209" s="102"/>
      <c r="Y209" s="101"/>
      <c r="Z209" s="101"/>
      <c r="AA209" s="102"/>
      <c r="AB209" s="106"/>
      <c r="AC209" s="106"/>
      <c r="AD209" s="107"/>
      <c r="AE209" s="117"/>
      <c r="AF209" s="102"/>
      <c r="AG209" s="102"/>
      <c r="AH209" s="101"/>
      <c r="AI209" s="101"/>
      <c r="AJ209" s="102"/>
      <c r="AK209" s="106"/>
      <c r="AL209" s="106"/>
    </row>
    <row r="210" spans="1:38" ht="50.25" customHeight="1" x14ac:dyDescent="0.25">
      <c r="A210" s="132"/>
      <c r="B210" s="133"/>
      <c r="C210" s="133"/>
      <c r="D210" s="133"/>
      <c r="E210" s="133"/>
      <c r="F210" s="133" t="s">
        <v>426</v>
      </c>
      <c r="G210" s="16" t="s">
        <v>427</v>
      </c>
      <c r="H210" s="84">
        <v>43556</v>
      </c>
      <c r="I210" s="84">
        <v>43830</v>
      </c>
      <c r="J210" s="47" t="s">
        <v>396</v>
      </c>
      <c r="K210" s="119"/>
      <c r="L210" s="102"/>
      <c r="M210" s="117"/>
      <c r="N210" s="102"/>
      <c r="O210" s="102"/>
      <c r="P210" s="101"/>
      <c r="Q210" s="101"/>
      <c r="R210" s="102"/>
      <c r="S210" s="106"/>
      <c r="T210" s="106"/>
      <c r="U210" s="107"/>
      <c r="V210" s="117"/>
      <c r="W210" s="102"/>
      <c r="X210" s="102"/>
      <c r="Y210" s="101"/>
      <c r="Z210" s="101"/>
      <c r="AA210" s="102"/>
      <c r="AB210" s="106"/>
      <c r="AC210" s="106"/>
      <c r="AD210" s="107"/>
      <c r="AE210" s="117"/>
      <c r="AF210" s="102"/>
      <c r="AG210" s="102"/>
      <c r="AH210" s="101"/>
      <c r="AI210" s="101"/>
      <c r="AJ210" s="102"/>
      <c r="AK210" s="106"/>
      <c r="AL210" s="106"/>
    </row>
    <row r="211" spans="1:38" ht="50.25" customHeight="1" x14ac:dyDescent="0.25">
      <c r="A211" s="132"/>
      <c r="B211" s="133"/>
      <c r="C211" s="133"/>
      <c r="D211" s="133"/>
      <c r="E211" s="133"/>
      <c r="F211" s="133"/>
      <c r="G211" s="16" t="s">
        <v>428</v>
      </c>
      <c r="H211" s="84">
        <v>43556</v>
      </c>
      <c r="I211" s="84">
        <v>43830</v>
      </c>
      <c r="J211" s="47" t="s">
        <v>396</v>
      </c>
      <c r="K211" s="119"/>
      <c r="L211" s="102"/>
      <c r="M211" s="117"/>
      <c r="N211" s="102"/>
      <c r="O211" s="102"/>
      <c r="P211" s="101"/>
      <c r="Q211" s="101"/>
      <c r="R211" s="102"/>
      <c r="S211" s="106"/>
      <c r="T211" s="106"/>
      <c r="U211" s="107"/>
      <c r="V211" s="117"/>
      <c r="W211" s="102"/>
      <c r="X211" s="102"/>
      <c r="Y211" s="101"/>
      <c r="Z211" s="101"/>
      <c r="AA211" s="102"/>
      <c r="AB211" s="106"/>
      <c r="AC211" s="106"/>
      <c r="AD211" s="107"/>
      <c r="AE211" s="117"/>
      <c r="AF211" s="102"/>
      <c r="AG211" s="102"/>
      <c r="AH211" s="101"/>
      <c r="AI211" s="101"/>
      <c r="AJ211" s="102"/>
      <c r="AK211" s="106"/>
      <c r="AL211" s="106"/>
    </row>
    <row r="212" spans="1:38" ht="50.25" customHeight="1" x14ac:dyDescent="0.25">
      <c r="A212" s="132"/>
      <c r="B212" s="133"/>
      <c r="C212" s="133"/>
      <c r="D212" s="133"/>
      <c r="E212" s="133"/>
      <c r="F212" s="133"/>
      <c r="G212" s="16" t="s">
        <v>429</v>
      </c>
      <c r="H212" s="84" t="s">
        <v>430</v>
      </c>
      <c r="I212" s="84">
        <v>43830</v>
      </c>
      <c r="J212" s="47" t="s">
        <v>396</v>
      </c>
      <c r="K212" s="119"/>
      <c r="L212" s="102"/>
      <c r="M212" s="117"/>
      <c r="N212" s="102"/>
      <c r="O212" s="102"/>
      <c r="P212" s="101"/>
      <c r="Q212" s="101"/>
      <c r="R212" s="102"/>
      <c r="S212" s="106"/>
      <c r="T212" s="106"/>
      <c r="U212" s="107"/>
      <c r="V212" s="117"/>
      <c r="W212" s="102"/>
      <c r="X212" s="102"/>
      <c r="Y212" s="101"/>
      <c r="Z212" s="101"/>
      <c r="AA212" s="102"/>
      <c r="AB212" s="106"/>
      <c r="AC212" s="106"/>
      <c r="AD212" s="107"/>
      <c r="AE212" s="117"/>
      <c r="AF212" s="102"/>
      <c r="AG212" s="102"/>
      <c r="AH212" s="101"/>
      <c r="AI212" s="101"/>
      <c r="AJ212" s="102"/>
      <c r="AK212" s="106"/>
      <c r="AL212" s="106"/>
    </row>
    <row r="213" spans="1:38" ht="43.5" customHeight="1" x14ac:dyDescent="0.25">
      <c r="A213" s="117" t="s">
        <v>52</v>
      </c>
      <c r="B213" s="102" t="s">
        <v>366</v>
      </c>
      <c r="C213" s="102">
        <v>43</v>
      </c>
      <c r="D213" s="102" t="s">
        <v>431</v>
      </c>
      <c r="E213" s="102">
        <v>0</v>
      </c>
      <c r="F213" s="102" t="s">
        <v>432</v>
      </c>
      <c r="G213" s="81" t="s">
        <v>433</v>
      </c>
      <c r="H213" s="20">
        <v>43647</v>
      </c>
      <c r="I213" s="20">
        <v>43708</v>
      </c>
      <c r="J213" s="46" t="s">
        <v>396</v>
      </c>
      <c r="K213" s="119" t="s">
        <v>353</v>
      </c>
      <c r="L213" s="102" t="s">
        <v>195</v>
      </c>
      <c r="M213" s="117" t="s">
        <v>434</v>
      </c>
      <c r="N213" s="102" t="s">
        <v>1001</v>
      </c>
      <c r="O213" s="102" t="s">
        <v>1001</v>
      </c>
      <c r="P213" s="101" t="str">
        <f>IFERROR((0/0),"No aplica")</f>
        <v>No aplica</v>
      </c>
      <c r="Q213" s="101">
        <f>IFERROR((0/1),"No aplica")</f>
        <v>0</v>
      </c>
      <c r="R213" s="102" t="s">
        <v>697</v>
      </c>
      <c r="S213" s="106" t="s">
        <v>1007</v>
      </c>
      <c r="T213" s="106" t="s">
        <v>1006</v>
      </c>
      <c r="U213" s="107" t="s">
        <v>1005</v>
      </c>
      <c r="V213" s="117" t="s">
        <v>434</v>
      </c>
      <c r="W213" s="102" t="s">
        <v>1001</v>
      </c>
      <c r="X213" s="102" t="s">
        <v>1001</v>
      </c>
      <c r="Y213" s="101" t="str">
        <f>IFERROR((0/0),"No aplica")</f>
        <v>No aplica</v>
      </c>
      <c r="Z213" s="101">
        <f>IFERROR((0/1),"No aplica")</f>
        <v>0</v>
      </c>
      <c r="AA213" s="102" t="s">
        <v>697</v>
      </c>
      <c r="AB213" s="106" t="s">
        <v>1004</v>
      </c>
      <c r="AC213" s="106" t="s">
        <v>1003</v>
      </c>
      <c r="AD213" s="107" t="s">
        <v>1002</v>
      </c>
      <c r="AE213" s="117" t="s">
        <v>434</v>
      </c>
      <c r="AF213" s="102" t="s">
        <v>1001</v>
      </c>
      <c r="AG213" s="102" t="s">
        <v>1001</v>
      </c>
      <c r="AH213" s="101" t="str">
        <f>IFERROR((0/0),"No aplica")</f>
        <v>No aplica</v>
      </c>
      <c r="AI213" s="101">
        <f>IFERROR((0/1),"No aplica")</f>
        <v>0</v>
      </c>
      <c r="AJ213" s="102" t="s">
        <v>697</v>
      </c>
      <c r="AK213" s="106" t="s">
        <v>1000</v>
      </c>
      <c r="AL213" s="106" t="s">
        <v>999</v>
      </c>
    </row>
    <row r="214" spans="1:38" ht="43.5" customHeight="1" x14ac:dyDescent="0.25">
      <c r="A214" s="117"/>
      <c r="B214" s="102"/>
      <c r="C214" s="102"/>
      <c r="D214" s="102"/>
      <c r="E214" s="102"/>
      <c r="F214" s="102"/>
      <c r="G214" s="81" t="s">
        <v>425</v>
      </c>
      <c r="H214" s="20">
        <v>43709</v>
      </c>
      <c r="I214" s="20">
        <v>43769</v>
      </c>
      <c r="J214" s="46" t="s">
        <v>396</v>
      </c>
      <c r="K214" s="119"/>
      <c r="L214" s="102"/>
      <c r="M214" s="117"/>
      <c r="N214" s="102"/>
      <c r="O214" s="102"/>
      <c r="P214" s="101"/>
      <c r="Q214" s="101"/>
      <c r="R214" s="102"/>
      <c r="S214" s="106"/>
      <c r="T214" s="106"/>
      <c r="U214" s="107"/>
      <c r="V214" s="117"/>
      <c r="W214" s="102"/>
      <c r="X214" s="102"/>
      <c r="Y214" s="101"/>
      <c r="Z214" s="101"/>
      <c r="AA214" s="102"/>
      <c r="AB214" s="106"/>
      <c r="AC214" s="106"/>
      <c r="AD214" s="107"/>
      <c r="AE214" s="117"/>
      <c r="AF214" s="102"/>
      <c r="AG214" s="102"/>
      <c r="AH214" s="101"/>
      <c r="AI214" s="101"/>
      <c r="AJ214" s="102"/>
      <c r="AK214" s="106"/>
      <c r="AL214" s="106"/>
    </row>
    <row r="215" spans="1:38" ht="43.5" customHeight="1" x14ac:dyDescent="0.25">
      <c r="A215" s="117"/>
      <c r="B215" s="102"/>
      <c r="C215" s="102"/>
      <c r="D215" s="102"/>
      <c r="E215" s="102"/>
      <c r="F215" s="102"/>
      <c r="G215" s="81" t="s">
        <v>435</v>
      </c>
      <c r="H215" s="20">
        <v>43709</v>
      </c>
      <c r="I215" s="20">
        <v>43769</v>
      </c>
      <c r="J215" s="46" t="s">
        <v>396</v>
      </c>
      <c r="K215" s="119"/>
      <c r="L215" s="102"/>
      <c r="M215" s="117"/>
      <c r="N215" s="102"/>
      <c r="O215" s="102"/>
      <c r="P215" s="101"/>
      <c r="Q215" s="101"/>
      <c r="R215" s="102"/>
      <c r="S215" s="106"/>
      <c r="T215" s="106"/>
      <c r="U215" s="107"/>
      <c r="V215" s="117"/>
      <c r="W215" s="102"/>
      <c r="X215" s="102"/>
      <c r="Y215" s="101"/>
      <c r="Z215" s="101"/>
      <c r="AA215" s="102"/>
      <c r="AB215" s="106"/>
      <c r="AC215" s="106"/>
      <c r="AD215" s="107"/>
      <c r="AE215" s="117"/>
      <c r="AF215" s="102"/>
      <c r="AG215" s="102"/>
      <c r="AH215" s="101"/>
      <c r="AI215" s="101"/>
      <c r="AJ215" s="102"/>
      <c r="AK215" s="106"/>
      <c r="AL215" s="106"/>
    </row>
    <row r="216" spans="1:38" x14ac:dyDescent="0.25">
      <c r="A216" s="38" t="s">
        <v>51</v>
      </c>
      <c r="B216" s="39" t="s">
        <v>51</v>
      </c>
      <c r="C216" s="39"/>
      <c r="D216" s="39" t="s">
        <v>51</v>
      </c>
      <c r="E216" s="39" t="s">
        <v>51</v>
      </c>
      <c r="F216" s="39" t="s">
        <v>51</v>
      </c>
      <c r="G216" s="44" t="s">
        <v>51</v>
      </c>
      <c r="H216" s="39" t="s">
        <v>51</v>
      </c>
      <c r="I216" s="39" t="s">
        <v>51</v>
      </c>
      <c r="J216" s="43" t="s">
        <v>51</v>
      </c>
      <c r="K216" s="42" t="s">
        <v>51</v>
      </c>
      <c r="L216" s="39" t="s">
        <v>51</v>
      </c>
      <c r="M216" s="38" t="s">
        <v>51</v>
      </c>
      <c r="N216" s="39"/>
      <c r="O216" s="39"/>
      <c r="P216" s="41"/>
      <c r="Q216" s="41"/>
      <c r="R216" s="39"/>
      <c r="S216" s="37"/>
      <c r="T216" s="37"/>
      <c r="U216" s="40"/>
      <c r="V216" s="38" t="s">
        <v>51</v>
      </c>
      <c r="W216" s="39"/>
      <c r="X216" s="39"/>
      <c r="Y216" s="39"/>
      <c r="Z216" s="39"/>
      <c r="AA216" s="38" t="s">
        <v>51</v>
      </c>
      <c r="AB216" s="37"/>
      <c r="AC216" s="37"/>
      <c r="AD216" s="40"/>
      <c r="AE216" s="38" t="s">
        <v>51</v>
      </c>
      <c r="AF216" s="39"/>
      <c r="AG216" s="39"/>
      <c r="AH216" s="39"/>
      <c r="AI216" s="48"/>
      <c r="AJ216" s="39" t="s">
        <v>51</v>
      </c>
      <c r="AK216" s="37"/>
      <c r="AL216" s="37"/>
    </row>
    <row r="217" spans="1:38" ht="52.5" customHeight="1" x14ac:dyDescent="0.25">
      <c r="A217" s="132" t="s">
        <v>174</v>
      </c>
      <c r="B217" s="133" t="s">
        <v>436</v>
      </c>
      <c r="C217" s="133">
        <v>44</v>
      </c>
      <c r="D217" s="133" t="s">
        <v>437</v>
      </c>
      <c r="E217" s="133">
        <v>0</v>
      </c>
      <c r="F217" s="133" t="s">
        <v>438</v>
      </c>
      <c r="G217" s="16" t="s">
        <v>439</v>
      </c>
      <c r="H217" s="84">
        <v>43466</v>
      </c>
      <c r="I217" s="84">
        <v>43495</v>
      </c>
      <c r="J217" s="50" t="s">
        <v>440</v>
      </c>
      <c r="K217" s="119" t="s">
        <v>353</v>
      </c>
      <c r="L217" s="102" t="s">
        <v>195</v>
      </c>
      <c r="M217" s="117" t="s">
        <v>441</v>
      </c>
      <c r="N217" s="102" t="s">
        <v>998</v>
      </c>
      <c r="O217" s="102" t="s">
        <v>998</v>
      </c>
      <c r="P217" s="101" t="str">
        <f>IFERROR((0/0),"No aplica")</f>
        <v>No aplica</v>
      </c>
      <c r="Q217" s="101">
        <f>IFERROR((0/8),"No aplica")</f>
        <v>0</v>
      </c>
      <c r="R217" s="102" t="s">
        <v>697</v>
      </c>
      <c r="S217" s="106" t="s">
        <v>997</v>
      </c>
      <c r="T217" s="106" t="s">
        <v>996</v>
      </c>
      <c r="U217" s="107" t="s">
        <v>995</v>
      </c>
      <c r="V217" s="117" t="s">
        <v>989</v>
      </c>
      <c r="W217" s="102" t="s">
        <v>994</v>
      </c>
      <c r="X217" s="102" t="s">
        <v>993</v>
      </c>
      <c r="Y217" s="101">
        <f>IFERROR((0/1),"No aplica")</f>
        <v>0</v>
      </c>
      <c r="Z217" s="101">
        <f>IFERROR((0/8),"No aplica")</f>
        <v>0</v>
      </c>
      <c r="AA217" s="102" t="s">
        <v>703</v>
      </c>
      <c r="AB217" s="106" t="s">
        <v>992</v>
      </c>
      <c r="AC217" s="106" t="s">
        <v>991</v>
      </c>
      <c r="AD217" s="107" t="s">
        <v>990</v>
      </c>
      <c r="AE217" s="117" t="s">
        <v>989</v>
      </c>
      <c r="AF217" s="102" t="s">
        <v>988</v>
      </c>
      <c r="AG217" s="102" t="s">
        <v>987</v>
      </c>
      <c r="AH217" s="101">
        <f>IFERROR((4/3),"No aplica")</f>
        <v>1.3333333333333333</v>
      </c>
      <c r="AI217" s="101">
        <f>IFERROR((4/8),"No aplica")</f>
        <v>0.5</v>
      </c>
      <c r="AJ217" s="102" t="s">
        <v>692</v>
      </c>
      <c r="AK217" s="106" t="s">
        <v>986</v>
      </c>
      <c r="AL217" s="106" t="s">
        <v>1453</v>
      </c>
    </row>
    <row r="218" spans="1:38" ht="52.5" customHeight="1" x14ac:dyDescent="0.25">
      <c r="A218" s="132"/>
      <c r="B218" s="133"/>
      <c r="C218" s="133"/>
      <c r="D218" s="133"/>
      <c r="E218" s="133"/>
      <c r="F218" s="133"/>
      <c r="G218" s="16" t="s">
        <v>442</v>
      </c>
      <c r="H218" s="84">
        <v>43525</v>
      </c>
      <c r="I218" s="84">
        <v>43585</v>
      </c>
      <c r="J218" s="50" t="s">
        <v>440</v>
      </c>
      <c r="K218" s="119"/>
      <c r="L218" s="102"/>
      <c r="M218" s="117"/>
      <c r="N218" s="102"/>
      <c r="O218" s="102"/>
      <c r="P218" s="101"/>
      <c r="Q218" s="101"/>
      <c r="R218" s="102"/>
      <c r="S218" s="106"/>
      <c r="T218" s="106"/>
      <c r="U218" s="107"/>
      <c r="V218" s="117"/>
      <c r="W218" s="102"/>
      <c r="X218" s="102"/>
      <c r="Y218" s="101"/>
      <c r="Z218" s="101"/>
      <c r="AA218" s="102"/>
      <c r="AB218" s="106"/>
      <c r="AC218" s="106"/>
      <c r="AD218" s="107"/>
      <c r="AE218" s="117"/>
      <c r="AF218" s="102"/>
      <c r="AG218" s="102"/>
      <c r="AH218" s="101"/>
      <c r="AI218" s="101"/>
      <c r="AJ218" s="102"/>
      <c r="AK218" s="106"/>
      <c r="AL218" s="106"/>
    </row>
    <row r="219" spans="1:38" ht="52.5" customHeight="1" x14ac:dyDescent="0.25">
      <c r="A219" s="132"/>
      <c r="B219" s="133"/>
      <c r="C219" s="133"/>
      <c r="D219" s="133"/>
      <c r="E219" s="133"/>
      <c r="F219" s="133"/>
      <c r="G219" s="16" t="s">
        <v>443</v>
      </c>
      <c r="H219" s="84">
        <v>43525</v>
      </c>
      <c r="I219" s="84">
        <v>43645</v>
      </c>
      <c r="J219" s="50" t="s">
        <v>440</v>
      </c>
      <c r="K219" s="119"/>
      <c r="L219" s="102"/>
      <c r="M219" s="117"/>
      <c r="N219" s="102"/>
      <c r="O219" s="102"/>
      <c r="P219" s="101"/>
      <c r="Q219" s="101"/>
      <c r="R219" s="102"/>
      <c r="S219" s="106"/>
      <c r="T219" s="106"/>
      <c r="U219" s="107"/>
      <c r="V219" s="117"/>
      <c r="W219" s="102"/>
      <c r="X219" s="102"/>
      <c r="Y219" s="101"/>
      <c r="Z219" s="101"/>
      <c r="AA219" s="102"/>
      <c r="AB219" s="106"/>
      <c r="AC219" s="106"/>
      <c r="AD219" s="107"/>
      <c r="AE219" s="117"/>
      <c r="AF219" s="102"/>
      <c r="AG219" s="102"/>
      <c r="AH219" s="101"/>
      <c r="AI219" s="101"/>
      <c r="AJ219" s="102"/>
      <c r="AK219" s="106"/>
      <c r="AL219" s="106"/>
    </row>
    <row r="220" spans="1:38" ht="52.5" customHeight="1" x14ac:dyDescent="0.25">
      <c r="A220" s="132"/>
      <c r="B220" s="133"/>
      <c r="C220" s="133"/>
      <c r="D220" s="133"/>
      <c r="E220" s="133"/>
      <c r="F220" s="133" t="s">
        <v>444</v>
      </c>
      <c r="G220" s="16" t="s">
        <v>445</v>
      </c>
      <c r="H220" s="84">
        <v>43480</v>
      </c>
      <c r="I220" s="84">
        <v>43830</v>
      </c>
      <c r="J220" s="50" t="s">
        <v>440</v>
      </c>
      <c r="K220" s="119"/>
      <c r="L220" s="102"/>
      <c r="M220" s="117"/>
      <c r="N220" s="102"/>
      <c r="O220" s="102"/>
      <c r="P220" s="101"/>
      <c r="Q220" s="101"/>
      <c r="R220" s="102"/>
      <c r="S220" s="106"/>
      <c r="T220" s="106"/>
      <c r="U220" s="107"/>
      <c r="V220" s="117"/>
      <c r="W220" s="102"/>
      <c r="X220" s="102"/>
      <c r="Y220" s="101"/>
      <c r="Z220" s="101"/>
      <c r="AA220" s="102"/>
      <c r="AB220" s="106"/>
      <c r="AC220" s="106"/>
      <c r="AD220" s="107"/>
      <c r="AE220" s="117"/>
      <c r="AF220" s="102"/>
      <c r="AG220" s="102"/>
      <c r="AH220" s="101"/>
      <c r="AI220" s="101"/>
      <c r="AJ220" s="102"/>
      <c r="AK220" s="106"/>
      <c r="AL220" s="106"/>
    </row>
    <row r="221" spans="1:38" ht="52.5" customHeight="1" x14ac:dyDescent="0.25">
      <c r="A221" s="132"/>
      <c r="B221" s="133"/>
      <c r="C221" s="133"/>
      <c r="D221" s="133"/>
      <c r="E221" s="133"/>
      <c r="F221" s="133"/>
      <c r="G221" s="16" t="s">
        <v>446</v>
      </c>
      <c r="H221" s="84">
        <v>43480</v>
      </c>
      <c r="I221" s="84">
        <v>43830</v>
      </c>
      <c r="J221" s="50" t="s">
        <v>440</v>
      </c>
      <c r="K221" s="119"/>
      <c r="L221" s="102"/>
      <c r="M221" s="117"/>
      <c r="N221" s="102"/>
      <c r="O221" s="102"/>
      <c r="P221" s="101"/>
      <c r="Q221" s="101"/>
      <c r="R221" s="102"/>
      <c r="S221" s="106"/>
      <c r="T221" s="106"/>
      <c r="U221" s="107"/>
      <c r="V221" s="117"/>
      <c r="W221" s="102"/>
      <c r="X221" s="102"/>
      <c r="Y221" s="101"/>
      <c r="Z221" s="101"/>
      <c r="AA221" s="102"/>
      <c r="AB221" s="106"/>
      <c r="AC221" s="106"/>
      <c r="AD221" s="107"/>
      <c r="AE221" s="117"/>
      <c r="AF221" s="102"/>
      <c r="AG221" s="102"/>
      <c r="AH221" s="101"/>
      <c r="AI221" s="101"/>
      <c r="AJ221" s="102"/>
      <c r="AK221" s="106"/>
      <c r="AL221" s="106"/>
    </row>
    <row r="222" spans="1:38" ht="52.5" customHeight="1" x14ac:dyDescent="0.25">
      <c r="A222" s="132"/>
      <c r="B222" s="133"/>
      <c r="C222" s="133"/>
      <c r="D222" s="133"/>
      <c r="E222" s="133"/>
      <c r="F222" s="133" t="s">
        <v>447</v>
      </c>
      <c r="G222" s="16" t="s">
        <v>448</v>
      </c>
      <c r="H222" s="84">
        <v>43480</v>
      </c>
      <c r="I222" s="84">
        <v>43830</v>
      </c>
      <c r="J222" s="50" t="s">
        <v>440</v>
      </c>
      <c r="K222" s="119"/>
      <c r="L222" s="102"/>
      <c r="M222" s="117"/>
      <c r="N222" s="102"/>
      <c r="O222" s="102"/>
      <c r="P222" s="101"/>
      <c r="Q222" s="101"/>
      <c r="R222" s="102"/>
      <c r="S222" s="106"/>
      <c r="T222" s="106"/>
      <c r="U222" s="107"/>
      <c r="V222" s="117"/>
      <c r="W222" s="102"/>
      <c r="X222" s="102"/>
      <c r="Y222" s="101"/>
      <c r="Z222" s="101"/>
      <c r="AA222" s="102"/>
      <c r="AB222" s="106"/>
      <c r="AC222" s="106"/>
      <c r="AD222" s="107"/>
      <c r="AE222" s="117"/>
      <c r="AF222" s="102"/>
      <c r="AG222" s="102"/>
      <c r="AH222" s="101"/>
      <c r="AI222" s="101"/>
      <c r="AJ222" s="102"/>
      <c r="AK222" s="106"/>
      <c r="AL222" s="106"/>
    </row>
    <row r="223" spans="1:38" ht="52.5" customHeight="1" x14ac:dyDescent="0.25">
      <c r="A223" s="132"/>
      <c r="B223" s="133"/>
      <c r="C223" s="133"/>
      <c r="D223" s="133"/>
      <c r="E223" s="133"/>
      <c r="F223" s="133"/>
      <c r="G223" s="16" t="s">
        <v>449</v>
      </c>
      <c r="H223" s="84">
        <v>43480</v>
      </c>
      <c r="I223" s="84">
        <v>43830</v>
      </c>
      <c r="J223" s="50" t="s">
        <v>440</v>
      </c>
      <c r="K223" s="119"/>
      <c r="L223" s="102"/>
      <c r="M223" s="117"/>
      <c r="N223" s="102"/>
      <c r="O223" s="102"/>
      <c r="P223" s="101"/>
      <c r="Q223" s="101"/>
      <c r="R223" s="102"/>
      <c r="S223" s="106"/>
      <c r="T223" s="106"/>
      <c r="U223" s="107"/>
      <c r="V223" s="117"/>
      <c r="W223" s="102"/>
      <c r="X223" s="102"/>
      <c r="Y223" s="101"/>
      <c r="Z223" s="101"/>
      <c r="AA223" s="102"/>
      <c r="AB223" s="106"/>
      <c r="AC223" s="106"/>
      <c r="AD223" s="107"/>
      <c r="AE223" s="117"/>
      <c r="AF223" s="102"/>
      <c r="AG223" s="102"/>
      <c r="AH223" s="101"/>
      <c r="AI223" s="101"/>
      <c r="AJ223" s="102"/>
      <c r="AK223" s="106"/>
      <c r="AL223" s="106"/>
    </row>
    <row r="224" spans="1:38" x14ac:dyDescent="0.25">
      <c r="A224" s="38" t="s">
        <v>51</v>
      </c>
      <c r="B224" s="39" t="s">
        <v>51</v>
      </c>
      <c r="C224" s="39"/>
      <c r="D224" s="39" t="s">
        <v>51</v>
      </c>
      <c r="E224" s="39" t="s">
        <v>51</v>
      </c>
      <c r="F224" s="39" t="s">
        <v>51</v>
      </c>
      <c r="G224" s="44" t="s">
        <v>51</v>
      </c>
      <c r="H224" s="39" t="s">
        <v>51</v>
      </c>
      <c r="I224" s="39" t="s">
        <v>51</v>
      </c>
      <c r="J224" s="43" t="s">
        <v>51</v>
      </c>
      <c r="K224" s="42" t="s">
        <v>51</v>
      </c>
      <c r="L224" s="39" t="s">
        <v>51</v>
      </c>
      <c r="M224" s="38" t="s">
        <v>51</v>
      </c>
      <c r="N224" s="39"/>
      <c r="O224" s="39"/>
      <c r="P224" s="41"/>
      <c r="Q224" s="41"/>
      <c r="R224" s="39"/>
      <c r="S224" s="37"/>
      <c r="T224" s="37"/>
      <c r="U224" s="40"/>
      <c r="V224" s="38" t="s">
        <v>51</v>
      </c>
      <c r="W224" s="39"/>
      <c r="X224" s="39"/>
      <c r="Y224" s="39"/>
      <c r="Z224" s="39"/>
      <c r="AA224" s="38" t="s">
        <v>51</v>
      </c>
      <c r="AB224" s="37"/>
      <c r="AC224" s="37"/>
      <c r="AD224" s="40"/>
      <c r="AE224" s="38" t="s">
        <v>51</v>
      </c>
      <c r="AF224" s="39"/>
      <c r="AG224" s="39"/>
      <c r="AH224" s="39"/>
      <c r="AI224" s="39"/>
      <c r="AJ224" s="38" t="s">
        <v>51</v>
      </c>
      <c r="AK224" s="37"/>
      <c r="AL224" s="37"/>
    </row>
    <row r="225" spans="1:38" ht="31.5" customHeight="1" x14ac:dyDescent="0.25">
      <c r="A225" s="117" t="s">
        <v>52</v>
      </c>
      <c r="B225" s="102" t="s">
        <v>450</v>
      </c>
      <c r="C225" s="102">
        <v>45</v>
      </c>
      <c r="D225" s="102" t="s">
        <v>451</v>
      </c>
      <c r="E225" s="102">
        <v>0</v>
      </c>
      <c r="F225" s="102" t="s">
        <v>452</v>
      </c>
      <c r="G225" s="81" t="s">
        <v>453</v>
      </c>
      <c r="H225" s="12">
        <v>43466</v>
      </c>
      <c r="I225" s="12" t="s">
        <v>454</v>
      </c>
      <c r="J225" s="46" t="s">
        <v>455</v>
      </c>
      <c r="K225" s="119" t="s">
        <v>456</v>
      </c>
      <c r="L225" s="102" t="s">
        <v>195</v>
      </c>
      <c r="M225" s="117" t="s">
        <v>457</v>
      </c>
      <c r="N225" s="102" t="s">
        <v>979</v>
      </c>
      <c r="O225" s="102" t="s">
        <v>979</v>
      </c>
      <c r="P225" s="101" t="str">
        <f>IFERROR((0/0),"No aplica")</f>
        <v>No aplica</v>
      </c>
      <c r="Q225" s="101">
        <f>IFERROR((0/3),"No aplica")</f>
        <v>0</v>
      </c>
      <c r="R225" s="102" t="s">
        <v>697</v>
      </c>
      <c r="S225" s="106" t="s">
        <v>985</v>
      </c>
      <c r="T225" s="106" t="s">
        <v>984</v>
      </c>
      <c r="U225" s="107" t="s">
        <v>965</v>
      </c>
      <c r="V225" s="117" t="s">
        <v>457</v>
      </c>
      <c r="W225" s="102" t="s">
        <v>979</v>
      </c>
      <c r="X225" s="102" t="s">
        <v>979</v>
      </c>
      <c r="Y225" s="101" t="str">
        <f>IFERROR((0/0),"No aplica")</f>
        <v>No aplica</v>
      </c>
      <c r="Z225" s="101">
        <f>IFERROR((0/3),"No aplica")</f>
        <v>0</v>
      </c>
      <c r="AA225" s="102" t="s">
        <v>697</v>
      </c>
      <c r="AB225" s="106" t="s">
        <v>983</v>
      </c>
      <c r="AC225" s="106" t="s">
        <v>982</v>
      </c>
      <c r="AD225" s="107" t="s">
        <v>981</v>
      </c>
      <c r="AE225" s="117" t="s">
        <v>457</v>
      </c>
      <c r="AF225" s="102" t="s">
        <v>980</v>
      </c>
      <c r="AG225" s="102" t="s">
        <v>979</v>
      </c>
      <c r="AH225" s="101">
        <f>IFERROR((0/1),"No aplica")</f>
        <v>0</v>
      </c>
      <c r="AI225" s="101">
        <f>IFERROR((0/3),"No aplica")</f>
        <v>0</v>
      </c>
      <c r="AJ225" s="102" t="s">
        <v>703</v>
      </c>
      <c r="AK225" s="106" t="s">
        <v>978</v>
      </c>
      <c r="AL225" s="106" t="s">
        <v>977</v>
      </c>
    </row>
    <row r="226" spans="1:38" ht="31.5" x14ac:dyDescent="0.25">
      <c r="A226" s="117"/>
      <c r="B226" s="102"/>
      <c r="C226" s="102"/>
      <c r="D226" s="102"/>
      <c r="E226" s="102"/>
      <c r="F226" s="102"/>
      <c r="G226" s="81" t="s">
        <v>458</v>
      </c>
      <c r="H226" s="12">
        <v>43525</v>
      </c>
      <c r="I226" s="12" t="s">
        <v>459</v>
      </c>
      <c r="J226" s="46" t="s">
        <v>455</v>
      </c>
      <c r="K226" s="119"/>
      <c r="L226" s="102"/>
      <c r="M226" s="117"/>
      <c r="N226" s="102"/>
      <c r="O226" s="102"/>
      <c r="P226" s="101"/>
      <c r="Q226" s="101"/>
      <c r="R226" s="102"/>
      <c r="S226" s="106"/>
      <c r="T226" s="106"/>
      <c r="U226" s="107"/>
      <c r="V226" s="117"/>
      <c r="W226" s="102"/>
      <c r="X226" s="102"/>
      <c r="Y226" s="101"/>
      <c r="Z226" s="101"/>
      <c r="AA226" s="102"/>
      <c r="AB226" s="106"/>
      <c r="AC226" s="106"/>
      <c r="AD226" s="107"/>
      <c r="AE226" s="117"/>
      <c r="AF226" s="102"/>
      <c r="AG226" s="102"/>
      <c r="AH226" s="101"/>
      <c r="AI226" s="101"/>
      <c r="AJ226" s="102"/>
      <c r="AK226" s="106"/>
      <c r="AL226" s="106"/>
    </row>
    <row r="227" spans="1:38" ht="31.5" x14ac:dyDescent="0.25">
      <c r="A227" s="117"/>
      <c r="B227" s="102"/>
      <c r="C227" s="102"/>
      <c r="D227" s="102"/>
      <c r="E227" s="102"/>
      <c r="F227" s="102"/>
      <c r="G227" s="81" t="s">
        <v>460</v>
      </c>
      <c r="H227" s="12">
        <v>43647</v>
      </c>
      <c r="I227" s="12" t="s">
        <v>461</v>
      </c>
      <c r="J227" s="46" t="s">
        <v>455</v>
      </c>
      <c r="K227" s="119"/>
      <c r="L227" s="102"/>
      <c r="M227" s="117"/>
      <c r="N227" s="102"/>
      <c r="O227" s="102"/>
      <c r="P227" s="101"/>
      <c r="Q227" s="101"/>
      <c r="R227" s="102"/>
      <c r="S227" s="106"/>
      <c r="T227" s="106"/>
      <c r="U227" s="107"/>
      <c r="V227" s="117"/>
      <c r="W227" s="102"/>
      <c r="X227" s="102"/>
      <c r="Y227" s="101"/>
      <c r="Z227" s="101"/>
      <c r="AA227" s="102"/>
      <c r="AB227" s="106"/>
      <c r="AC227" s="106"/>
      <c r="AD227" s="107"/>
      <c r="AE227" s="117"/>
      <c r="AF227" s="102"/>
      <c r="AG227" s="102"/>
      <c r="AH227" s="101"/>
      <c r="AI227" s="101"/>
      <c r="AJ227" s="102"/>
      <c r="AK227" s="106"/>
      <c r="AL227" s="106"/>
    </row>
    <row r="228" spans="1:38" ht="31.5" x14ac:dyDescent="0.25">
      <c r="A228" s="117"/>
      <c r="B228" s="102"/>
      <c r="C228" s="102"/>
      <c r="D228" s="102"/>
      <c r="E228" s="102"/>
      <c r="F228" s="102" t="s">
        <v>462</v>
      </c>
      <c r="G228" s="81" t="s">
        <v>463</v>
      </c>
      <c r="H228" s="12">
        <v>43466</v>
      </c>
      <c r="I228" s="12" t="s">
        <v>464</v>
      </c>
      <c r="J228" s="46" t="s">
        <v>455</v>
      </c>
      <c r="K228" s="119"/>
      <c r="L228" s="102"/>
      <c r="M228" s="117"/>
      <c r="N228" s="102"/>
      <c r="O228" s="102"/>
      <c r="P228" s="101"/>
      <c r="Q228" s="101"/>
      <c r="R228" s="102"/>
      <c r="S228" s="106"/>
      <c r="T228" s="106"/>
      <c r="U228" s="107"/>
      <c r="V228" s="117"/>
      <c r="W228" s="102"/>
      <c r="X228" s="102"/>
      <c r="Y228" s="101"/>
      <c r="Z228" s="101"/>
      <c r="AA228" s="102"/>
      <c r="AB228" s="106"/>
      <c r="AC228" s="106"/>
      <c r="AD228" s="107"/>
      <c r="AE228" s="117"/>
      <c r="AF228" s="102"/>
      <c r="AG228" s="102"/>
      <c r="AH228" s="101"/>
      <c r="AI228" s="101"/>
      <c r="AJ228" s="102"/>
      <c r="AK228" s="106"/>
      <c r="AL228" s="106"/>
    </row>
    <row r="229" spans="1:38" ht="31.5" x14ac:dyDescent="0.25">
      <c r="A229" s="117"/>
      <c r="B229" s="102"/>
      <c r="C229" s="102"/>
      <c r="D229" s="102"/>
      <c r="E229" s="102"/>
      <c r="F229" s="102"/>
      <c r="G229" s="81" t="s">
        <v>465</v>
      </c>
      <c r="H229" s="12">
        <v>43525</v>
      </c>
      <c r="I229" s="12">
        <v>43555</v>
      </c>
      <c r="J229" s="46" t="s">
        <v>455</v>
      </c>
      <c r="K229" s="119"/>
      <c r="L229" s="102"/>
      <c r="M229" s="117"/>
      <c r="N229" s="102"/>
      <c r="O229" s="102"/>
      <c r="P229" s="101"/>
      <c r="Q229" s="101"/>
      <c r="R229" s="102"/>
      <c r="S229" s="106"/>
      <c r="T229" s="106"/>
      <c r="U229" s="107"/>
      <c r="V229" s="117"/>
      <c r="W229" s="102"/>
      <c r="X229" s="102"/>
      <c r="Y229" s="101"/>
      <c r="Z229" s="101"/>
      <c r="AA229" s="102"/>
      <c r="AB229" s="106"/>
      <c r="AC229" s="106"/>
      <c r="AD229" s="107"/>
      <c r="AE229" s="117"/>
      <c r="AF229" s="102"/>
      <c r="AG229" s="102"/>
      <c r="AH229" s="101"/>
      <c r="AI229" s="101"/>
      <c r="AJ229" s="102"/>
      <c r="AK229" s="106"/>
      <c r="AL229" s="106"/>
    </row>
    <row r="230" spans="1:38" ht="31.5" x14ac:dyDescent="0.25">
      <c r="A230" s="117"/>
      <c r="B230" s="102"/>
      <c r="C230" s="102"/>
      <c r="D230" s="102"/>
      <c r="E230" s="102"/>
      <c r="F230" s="102"/>
      <c r="G230" s="81" t="s">
        <v>466</v>
      </c>
      <c r="H230" s="12" t="s">
        <v>467</v>
      </c>
      <c r="I230" s="12">
        <v>43585</v>
      </c>
      <c r="J230" s="46" t="s">
        <v>455</v>
      </c>
      <c r="K230" s="119"/>
      <c r="L230" s="102"/>
      <c r="M230" s="117"/>
      <c r="N230" s="102"/>
      <c r="O230" s="102"/>
      <c r="P230" s="101"/>
      <c r="Q230" s="101"/>
      <c r="R230" s="102"/>
      <c r="S230" s="106"/>
      <c r="T230" s="106"/>
      <c r="U230" s="107"/>
      <c r="V230" s="117"/>
      <c r="W230" s="102"/>
      <c r="X230" s="102"/>
      <c r="Y230" s="101"/>
      <c r="Z230" s="101"/>
      <c r="AA230" s="102"/>
      <c r="AB230" s="106"/>
      <c r="AC230" s="106"/>
      <c r="AD230" s="107"/>
      <c r="AE230" s="117"/>
      <c r="AF230" s="102"/>
      <c r="AG230" s="102"/>
      <c r="AH230" s="101"/>
      <c r="AI230" s="101"/>
      <c r="AJ230" s="102"/>
      <c r="AK230" s="106"/>
      <c r="AL230" s="106"/>
    </row>
    <row r="231" spans="1:38" ht="31.5" customHeight="1" x14ac:dyDescent="0.25">
      <c r="A231" s="117" t="s">
        <v>52</v>
      </c>
      <c r="B231" s="102" t="s">
        <v>450</v>
      </c>
      <c r="C231" s="102">
        <v>46</v>
      </c>
      <c r="D231" s="102" t="s">
        <v>468</v>
      </c>
      <c r="E231" s="102">
        <v>0</v>
      </c>
      <c r="F231" s="102" t="s">
        <v>469</v>
      </c>
      <c r="G231" s="81" t="s">
        <v>470</v>
      </c>
      <c r="H231" s="12">
        <v>43466</v>
      </c>
      <c r="I231" s="12">
        <v>43524</v>
      </c>
      <c r="J231" s="46" t="s">
        <v>455</v>
      </c>
      <c r="K231" s="119" t="s">
        <v>471</v>
      </c>
      <c r="L231" s="102" t="s">
        <v>472</v>
      </c>
      <c r="M231" s="117" t="s">
        <v>473</v>
      </c>
      <c r="N231" s="102" t="s">
        <v>970</v>
      </c>
      <c r="O231" s="102" t="s">
        <v>970</v>
      </c>
      <c r="P231" s="101" t="str">
        <f>IFERROR((0/0),"No aplica")</f>
        <v>No aplica</v>
      </c>
      <c r="Q231" s="101">
        <f>IFERROR((0/12),"No aplica")</f>
        <v>0</v>
      </c>
      <c r="R231" s="102" t="s">
        <v>697</v>
      </c>
      <c r="S231" s="106" t="s">
        <v>976</v>
      </c>
      <c r="T231" s="106" t="s">
        <v>975</v>
      </c>
      <c r="U231" s="107" t="s">
        <v>974</v>
      </c>
      <c r="V231" s="117" t="s">
        <v>473</v>
      </c>
      <c r="W231" s="102" t="s">
        <v>970</v>
      </c>
      <c r="X231" s="102" t="s">
        <v>970</v>
      </c>
      <c r="Y231" s="101" t="str">
        <f>IFERROR((0/0),"No aplica")</f>
        <v>No aplica</v>
      </c>
      <c r="Z231" s="101">
        <f>IFERROR((0/12),"No aplica")</f>
        <v>0</v>
      </c>
      <c r="AA231" s="102" t="s">
        <v>697</v>
      </c>
      <c r="AB231" s="106" t="s">
        <v>973</v>
      </c>
      <c r="AC231" s="106" t="s">
        <v>972</v>
      </c>
      <c r="AD231" s="107" t="s">
        <v>971</v>
      </c>
      <c r="AE231" s="117" t="s">
        <v>473</v>
      </c>
      <c r="AF231" s="102" t="s">
        <v>970</v>
      </c>
      <c r="AG231" s="102" t="s">
        <v>970</v>
      </c>
      <c r="AH231" s="101" t="str">
        <f>IFERROR((0/0),"No aplica")</f>
        <v>No aplica</v>
      </c>
      <c r="AI231" s="101">
        <f>IFERROR((0/12),"No aplica")</f>
        <v>0</v>
      </c>
      <c r="AJ231" s="102" t="s">
        <v>697</v>
      </c>
      <c r="AK231" s="106" t="s">
        <v>969</v>
      </c>
      <c r="AL231" s="106" t="s">
        <v>968</v>
      </c>
    </row>
    <row r="232" spans="1:38" ht="31.5" customHeight="1" x14ac:dyDescent="0.25">
      <c r="A232" s="117"/>
      <c r="B232" s="102"/>
      <c r="C232" s="102"/>
      <c r="D232" s="102"/>
      <c r="E232" s="102"/>
      <c r="F232" s="102"/>
      <c r="G232" s="81" t="s">
        <v>474</v>
      </c>
      <c r="H232" s="12">
        <v>43466</v>
      </c>
      <c r="I232" s="12">
        <v>43555</v>
      </c>
      <c r="J232" s="46" t="s">
        <v>455</v>
      </c>
      <c r="K232" s="119"/>
      <c r="L232" s="102"/>
      <c r="M232" s="117"/>
      <c r="N232" s="102"/>
      <c r="O232" s="102"/>
      <c r="P232" s="101"/>
      <c r="Q232" s="101"/>
      <c r="R232" s="102"/>
      <c r="S232" s="106"/>
      <c r="T232" s="106"/>
      <c r="U232" s="107"/>
      <c r="V232" s="117"/>
      <c r="W232" s="102"/>
      <c r="X232" s="102"/>
      <c r="Y232" s="101"/>
      <c r="Z232" s="101"/>
      <c r="AA232" s="102"/>
      <c r="AB232" s="106"/>
      <c r="AC232" s="106"/>
      <c r="AD232" s="107"/>
      <c r="AE232" s="117"/>
      <c r="AF232" s="102"/>
      <c r="AG232" s="102"/>
      <c r="AH232" s="101"/>
      <c r="AI232" s="101"/>
      <c r="AJ232" s="102"/>
      <c r="AK232" s="106"/>
      <c r="AL232" s="106"/>
    </row>
    <row r="233" spans="1:38" ht="31.5" x14ac:dyDescent="0.25">
      <c r="A233" s="117"/>
      <c r="B233" s="102"/>
      <c r="C233" s="102"/>
      <c r="D233" s="102"/>
      <c r="E233" s="102"/>
      <c r="F233" s="102"/>
      <c r="G233" s="81" t="s">
        <v>475</v>
      </c>
      <c r="H233" s="12">
        <v>43556</v>
      </c>
      <c r="I233" s="12">
        <v>43646</v>
      </c>
      <c r="J233" s="46" t="s">
        <v>455</v>
      </c>
      <c r="K233" s="119"/>
      <c r="L233" s="102"/>
      <c r="M233" s="117"/>
      <c r="N233" s="102"/>
      <c r="O233" s="102"/>
      <c r="P233" s="101"/>
      <c r="Q233" s="101"/>
      <c r="R233" s="102"/>
      <c r="S233" s="106"/>
      <c r="T233" s="106"/>
      <c r="U233" s="107"/>
      <c r="V233" s="117"/>
      <c r="W233" s="102"/>
      <c r="X233" s="102"/>
      <c r="Y233" s="101"/>
      <c r="Z233" s="101"/>
      <c r="AA233" s="102"/>
      <c r="AB233" s="106"/>
      <c r="AC233" s="106"/>
      <c r="AD233" s="107"/>
      <c r="AE233" s="117"/>
      <c r="AF233" s="102"/>
      <c r="AG233" s="102"/>
      <c r="AH233" s="101"/>
      <c r="AI233" s="101"/>
      <c r="AJ233" s="102"/>
      <c r="AK233" s="106"/>
      <c r="AL233" s="106"/>
    </row>
    <row r="234" spans="1:38" ht="31.5" x14ac:dyDescent="0.25">
      <c r="A234" s="117"/>
      <c r="B234" s="102"/>
      <c r="C234" s="102"/>
      <c r="D234" s="102"/>
      <c r="E234" s="102"/>
      <c r="F234" s="102"/>
      <c r="G234" s="81" t="s">
        <v>476</v>
      </c>
      <c r="H234" s="12">
        <v>43647</v>
      </c>
      <c r="I234" s="12">
        <v>43830</v>
      </c>
      <c r="J234" s="46" t="s">
        <v>455</v>
      </c>
      <c r="K234" s="119"/>
      <c r="L234" s="102"/>
      <c r="M234" s="117"/>
      <c r="N234" s="102"/>
      <c r="O234" s="102"/>
      <c r="P234" s="101"/>
      <c r="Q234" s="101"/>
      <c r="R234" s="102"/>
      <c r="S234" s="106"/>
      <c r="T234" s="106"/>
      <c r="U234" s="107"/>
      <c r="V234" s="117"/>
      <c r="W234" s="102"/>
      <c r="X234" s="102"/>
      <c r="Y234" s="101"/>
      <c r="Z234" s="101"/>
      <c r="AA234" s="102"/>
      <c r="AB234" s="106"/>
      <c r="AC234" s="106"/>
      <c r="AD234" s="107"/>
      <c r="AE234" s="117"/>
      <c r="AF234" s="102"/>
      <c r="AG234" s="102"/>
      <c r="AH234" s="101"/>
      <c r="AI234" s="101"/>
      <c r="AJ234" s="102"/>
      <c r="AK234" s="106"/>
      <c r="AL234" s="106"/>
    </row>
    <row r="235" spans="1:38" ht="73.5" customHeight="1" x14ac:dyDescent="0.25">
      <c r="A235" s="117"/>
      <c r="B235" s="102"/>
      <c r="C235" s="102"/>
      <c r="D235" s="102"/>
      <c r="E235" s="102"/>
      <c r="F235" s="102"/>
      <c r="G235" s="81" t="s">
        <v>477</v>
      </c>
      <c r="H235" s="12">
        <v>43709</v>
      </c>
      <c r="I235" s="12" t="s">
        <v>461</v>
      </c>
      <c r="J235" s="46" t="s">
        <v>455</v>
      </c>
      <c r="K235" s="119"/>
      <c r="L235" s="102"/>
      <c r="M235" s="117"/>
      <c r="N235" s="102"/>
      <c r="O235" s="102"/>
      <c r="P235" s="101"/>
      <c r="Q235" s="101"/>
      <c r="R235" s="102"/>
      <c r="S235" s="106"/>
      <c r="T235" s="106"/>
      <c r="U235" s="107"/>
      <c r="V235" s="117"/>
      <c r="W235" s="102"/>
      <c r="X235" s="102"/>
      <c r="Y235" s="101"/>
      <c r="Z235" s="101"/>
      <c r="AA235" s="102"/>
      <c r="AB235" s="106"/>
      <c r="AC235" s="106"/>
      <c r="AD235" s="107"/>
      <c r="AE235" s="117"/>
      <c r="AF235" s="102"/>
      <c r="AG235" s="102"/>
      <c r="AH235" s="101"/>
      <c r="AI235" s="101"/>
      <c r="AJ235" s="102"/>
      <c r="AK235" s="106"/>
      <c r="AL235" s="106"/>
    </row>
    <row r="236" spans="1:38" ht="31.5" customHeight="1" x14ac:dyDescent="0.25">
      <c r="A236" s="117" t="s">
        <v>52</v>
      </c>
      <c r="B236" s="102" t="s">
        <v>478</v>
      </c>
      <c r="C236" s="102">
        <v>47</v>
      </c>
      <c r="D236" s="102" t="s">
        <v>479</v>
      </c>
      <c r="E236" s="102">
        <v>0</v>
      </c>
      <c r="F236" s="102" t="s">
        <v>480</v>
      </c>
      <c r="G236" s="81" t="s">
        <v>481</v>
      </c>
      <c r="H236" s="12">
        <v>43466</v>
      </c>
      <c r="I236" s="12">
        <v>43555</v>
      </c>
      <c r="J236" s="46" t="s">
        <v>455</v>
      </c>
      <c r="K236" s="119" t="s">
        <v>471</v>
      </c>
      <c r="L236" s="102" t="s">
        <v>472</v>
      </c>
      <c r="M236" s="117" t="s">
        <v>482</v>
      </c>
      <c r="N236" s="102" t="s">
        <v>960</v>
      </c>
      <c r="O236" s="102" t="s">
        <v>960</v>
      </c>
      <c r="P236" s="101" t="str">
        <f>IFERROR((0/0),"No aplica")</f>
        <v>No aplica</v>
      </c>
      <c r="Q236" s="101">
        <f>IFERROR((0/3),"No aplica")</f>
        <v>0</v>
      </c>
      <c r="R236" s="102" t="s">
        <v>697</v>
      </c>
      <c r="S236" s="106" t="s">
        <v>967</v>
      </c>
      <c r="T236" s="106" t="s">
        <v>966</v>
      </c>
      <c r="U236" s="107" t="s">
        <v>965</v>
      </c>
      <c r="V236" s="117" t="s">
        <v>482</v>
      </c>
      <c r="W236" s="102" t="s">
        <v>960</v>
      </c>
      <c r="X236" s="102" t="s">
        <v>960</v>
      </c>
      <c r="Y236" s="101" t="str">
        <f>IFERROR((0/0),"No aplica")</f>
        <v>No aplica</v>
      </c>
      <c r="Z236" s="101">
        <f>IFERROR((0/3),"No aplica")</f>
        <v>0</v>
      </c>
      <c r="AA236" s="102" t="s">
        <v>697</v>
      </c>
      <c r="AB236" s="106" t="s">
        <v>964</v>
      </c>
      <c r="AC236" s="106" t="s">
        <v>963</v>
      </c>
      <c r="AD236" s="107" t="s">
        <v>962</v>
      </c>
      <c r="AE236" s="117" t="s">
        <v>482</v>
      </c>
      <c r="AF236" s="102" t="s">
        <v>961</v>
      </c>
      <c r="AG236" s="102" t="s">
        <v>960</v>
      </c>
      <c r="AH236" s="101">
        <f>IFERROR((0/1),"No aplica")</f>
        <v>0</v>
      </c>
      <c r="AI236" s="101">
        <f>IFERROR((0/3),"No aplica")</f>
        <v>0</v>
      </c>
      <c r="AJ236" s="102" t="s">
        <v>703</v>
      </c>
      <c r="AK236" s="106" t="s">
        <v>959</v>
      </c>
      <c r="AL236" s="106" t="s">
        <v>958</v>
      </c>
    </row>
    <row r="237" spans="1:38" ht="31.5" customHeight="1" x14ac:dyDescent="0.25">
      <c r="A237" s="117"/>
      <c r="B237" s="102"/>
      <c r="C237" s="102"/>
      <c r="D237" s="102"/>
      <c r="E237" s="102"/>
      <c r="F237" s="102"/>
      <c r="G237" s="81" t="s">
        <v>458</v>
      </c>
      <c r="H237" s="12">
        <v>43525</v>
      </c>
      <c r="I237" s="12">
        <v>43646</v>
      </c>
      <c r="J237" s="46" t="s">
        <v>455</v>
      </c>
      <c r="K237" s="119"/>
      <c r="L237" s="102"/>
      <c r="M237" s="117"/>
      <c r="N237" s="102"/>
      <c r="O237" s="102"/>
      <c r="P237" s="101"/>
      <c r="Q237" s="101"/>
      <c r="R237" s="102"/>
      <c r="S237" s="106"/>
      <c r="T237" s="106"/>
      <c r="U237" s="107"/>
      <c r="V237" s="117"/>
      <c r="W237" s="102"/>
      <c r="X237" s="102"/>
      <c r="Y237" s="101"/>
      <c r="Z237" s="101"/>
      <c r="AA237" s="102"/>
      <c r="AB237" s="106"/>
      <c r="AC237" s="106"/>
      <c r="AD237" s="107"/>
      <c r="AE237" s="117"/>
      <c r="AF237" s="102"/>
      <c r="AG237" s="102"/>
      <c r="AH237" s="101"/>
      <c r="AI237" s="101"/>
      <c r="AJ237" s="102"/>
      <c r="AK237" s="106"/>
      <c r="AL237" s="106"/>
    </row>
    <row r="238" spans="1:38" ht="31.5" x14ac:dyDescent="0.25">
      <c r="A238" s="117"/>
      <c r="B238" s="102"/>
      <c r="C238" s="102"/>
      <c r="D238" s="102"/>
      <c r="E238" s="102"/>
      <c r="F238" s="102"/>
      <c r="G238" s="81" t="s">
        <v>483</v>
      </c>
      <c r="H238" s="12">
        <v>43647</v>
      </c>
      <c r="I238" s="12">
        <v>43830</v>
      </c>
      <c r="J238" s="46" t="s">
        <v>455</v>
      </c>
      <c r="K238" s="119"/>
      <c r="L238" s="102"/>
      <c r="M238" s="117"/>
      <c r="N238" s="102"/>
      <c r="O238" s="102"/>
      <c r="P238" s="101"/>
      <c r="Q238" s="101"/>
      <c r="R238" s="102"/>
      <c r="S238" s="106"/>
      <c r="T238" s="106"/>
      <c r="U238" s="107"/>
      <c r="V238" s="117"/>
      <c r="W238" s="102"/>
      <c r="X238" s="102"/>
      <c r="Y238" s="101"/>
      <c r="Z238" s="101"/>
      <c r="AA238" s="102"/>
      <c r="AB238" s="106"/>
      <c r="AC238" s="106"/>
      <c r="AD238" s="107"/>
      <c r="AE238" s="117"/>
      <c r="AF238" s="102"/>
      <c r="AG238" s="102"/>
      <c r="AH238" s="101"/>
      <c r="AI238" s="101"/>
      <c r="AJ238" s="102"/>
      <c r="AK238" s="106"/>
      <c r="AL238" s="106"/>
    </row>
    <row r="239" spans="1:38" ht="31.5" x14ac:dyDescent="0.25">
      <c r="A239" s="117"/>
      <c r="B239" s="102"/>
      <c r="C239" s="102"/>
      <c r="D239" s="102"/>
      <c r="E239" s="102"/>
      <c r="F239" s="102" t="s">
        <v>484</v>
      </c>
      <c r="G239" s="81" t="s">
        <v>485</v>
      </c>
      <c r="H239" s="12">
        <v>43466</v>
      </c>
      <c r="I239" s="12">
        <v>43555</v>
      </c>
      <c r="J239" s="46" t="s">
        <v>455</v>
      </c>
      <c r="K239" s="119"/>
      <c r="L239" s="102"/>
      <c r="M239" s="117"/>
      <c r="N239" s="102"/>
      <c r="O239" s="102"/>
      <c r="P239" s="101"/>
      <c r="Q239" s="101"/>
      <c r="R239" s="102"/>
      <c r="S239" s="106"/>
      <c r="T239" s="106"/>
      <c r="U239" s="107"/>
      <c r="V239" s="117"/>
      <c r="W239" s="102"/>
      <c r="X239" s="102"/>
      <c r="Y239" s="101"/>
      <c r="Z239" s="101"/>
      <c r="AA239" s="102"/>
      <c r="AB239" s="106"/>
      <c r="AC239" s="106"/>
      <c r="AD239" s="107"/>
      <c r="AE239" s="117"/>
      <c r="AF239" s="102"/>
      <c r="AG239" s="102"/>
      <c r="AH239" s="101"/>
      <c r="AI239" s="101"/>
      <c r="AJ239" s="102"/>
      <c r="AK239" s="106"/>
      <c r="AL239" s="106"/>
    </row>
    <row r="240" spans="1:38" s="23" customFormat="1" ht="31.5" x14ac:dyDescent="0.25">
      <c r="A240" s="117"/>
      <c r="B240" s="102"/>
      <c r="C240" s="102"/>
      <c r="D240" s="102"/>
      <c r="E240" s="102"/>
      <c r="F240" s="102"/>
      <c r="G240" s="81" t="s">
        <v>486</v>
      </c>
      <c r="H240" s="12">
        <v>43466</v>
      </c>
      <c r="I240" s="12">
        <v>43555</v>
      </c>
      <c r="J240" s="46" t="s">
        <v>455</v>
      </c>
      <c r="K240" s="119"/>
      <c r="L240" s="102"/>
      <c r="M240" s="117"/>
      <c r="N240" s="102"/>
      <c r="O240" s="102"/>
      <c r="P240" s="101"/>
      <c r="Q240" s="101"/>
      <c r="R240" s="102"/>
      <c r="S240" s="106"/>
      <c r="T240" s="106"/>
      <c r="U240" s="107"/>
      <c r="V240" s="117"/>
      <c r="W240" s="102"/>
      <c r="X240" s="102"/>
      <c r="Y240" s="101"/>
      <c r="Z240" s="101"/>
      <c r="AA240" s="102"/>
      <c r="AB240" s="106"/>
      <c r="AC240" s="106"/>
      <c r="AD240" s="107"/>
      <c r="AE240" s="117"/>
      <c r="AF240" s="102"/>
      <c r="AG240" s="102"/>
      <c r="AH240" s="101"/>
      <c r="AI240" s="101"/>
      <c r="AJ240" s="102"/>
      <c r="AK240" s="106"/>
      <c r="AL240" s="106"/>
    </row>
    <row r="241" spans="1:38" s="23" customFormat="1" ht="31.5" x14ac:dyDescent="0.25">
      <c r="A241" s="117"/>
      <c r="B241" s="102"/>
      <c r="C241" s="102"/>
      <c r="D241" s="102"/>
      <c r="E241" s="102"/>
      <c r="F241" s="102"/>
      <c r="G241" s="81" t="s">
        <v>487</v>
      </c>
      <c r="H241" s="12">
        <v>43556</v>
      </c>
      <c r="I241" s="12">
        <v>43585</v>
      </c>
      <c r="J241" s="46" t="s">
        <v>455</v>
      </c>
      <c r="K241" s="119"/>
      <c r="L241" s="102"/>
      <c r="M241" s="117"/>
      <c r="N241" s="102"/>
      <c r="O241" s="102"/>
      <c r="P241" s="101"/>
      <c r="Q241" s="101"/>
      <c r="R241" s="102"/>
      <c r="S241" s="106"/>
      <c r="T241" s="106"/>
      <c r="U241" s="107"/>
      <c r="V241" s="117"/>
      <c r="W241" s="102"/>
      <c r="X241" s="102"/>
      <c r="Y241" s="101"/>
      <c r="Z241" s="101"/>
      <c r="AA241" s="102"/>
      <c r="AB241" s="106"/>
      <c r="AC241" s="106"/>
      <c r="AD241" s="107"/>
      <c r="AE241" s="117"/>
      <c r="AF241" s="102"/>
      <c r="AG241" s="102"/>
      <c r="AH241" s="101"/>
      <c r="AI241" s="101"/>
      <c r="AJ241" s="102"/>
      <c r="AK241" s="106"/>
      <c r="AL241" s="106"/>
    </row>
    <row r="242" spans="1:38" s="23" customFormat="1" ht="31.5" customHeight="1" x14ac:dyDescent="0.25">
      <c r="A242" s="132" t="s">
        <v>52</v>
      </c>
      <c r="B242" s="133" t="s">
        <v>478</v>
      </c>
      <c r="C242" s="133">
        <v>48</v>
      </c>
      <c r="D242" s="133" t="s">
        <v>488</v>
      </c>
      <c r="E242" s="133">
        <v>0</v>
      </c>
      <c r="F242" s="133" t="s">
        <v>489</v>
      </c>
      <c r="G242" s="16" t="s">
        <v>490</v>
      </c>
      <c r="H242" s="17">
        <v>43466</v>
      </c>
      <c r="I242" s="17">
        <v>43524</v>
      </c>
      <c r="J242" s="47" t="s">
        <v>455</v>
      </c>
      <c r="K242" s="119" t="s">
        <v>471</v>
      </c>
      <c r="L242" s="102" t="s">
        <v>472</v>
      </c>
      <c r="M242" s="117" t="s">
        <v>491</v>
      </c>
      <c r="N242" s="102" t="s">
        <v>951</v>
      </c>
      <c r="O242" s="102" t="s">
        <v>951</v>
      </c>
      <c r="P242" s="101" t="str">
        <f>IFERROR((0/0),"No aplica")</f>
        <v>No aplica</v>
      </c>
      <c r="Q242" s="101">
        <f>IFERROR((0/4),"No aplica")</f>
        <v>0</v>
      </c>
      <c r="R242" s="102" t="s">
        <v>697</v>
      </c>
      <c r="S242" s="106" t="s">
        <v>957</v>
      </c>
      <c r="T242" s="106" t="s">
        <v>956</v>
      </c>
      <c r="U242" s="107" t="s">
        <v>955</v>
      </c>
      <c r="V242" s="117" t="s">
        <v>491</v>
      </c>
      <c r="W242" s="102" t="s">
        <v>951</v>
      </c>
      <c r="X242" s="102" t="s">
        <v>951</v>
      </c>
      <c r="Y242" s="101" t="str">
        <f>IFERROR((0/0),"No aplica")</f>
        <v>No aplica</v>
      </c>
      <c r="Z242" s="101">
        <f>IFERROR((0/4),"No aplica")</f>
        <v>0</v>
      </c>
      <c r="AA242" s="102" t="s">
        <v>697</v>
      </c>
      <c r="AB242" s="106" t="s">
        <v>954</v>
      </c>
      <c r="AC242" s="106" t="s">
        <v>953</v>
      </c>
      <c r="AD242" s="107" t="s">
        <v>952</v>
      </c>
      <c r="AE242" s="117" t="s">
        <v>491</v>
      </c>
      <c r="AF242" s="102" t="s">
        <v>951</v>
      </c>
      <c r="AG242" s="102" t="s">
        <v>951</v>
      </c>
      <c r="AH242" s="101" t="str">
        <f>IFERROR((0/0),"No aplica")</f>
        <v>No aplica</v>
      </c>
      <c r="AI242" s="101">
        <f>IFERROR((0/4),"No aplica")</f>
        <v>0</v>
      </c>
      <c r="AJ242" s="102" t="s">
        <v>697</v>
      </c>
      <c r="AK242" s="106" t="s">
        <v>950</v>
      </c>
      <c r="AL242" s="106" t="s">
        <v>949</v>
      </c>
    </row>
    <row r="243" spans="1:38" s="23" customFormat="1" ht="31.5" x14ac:dyDescent="0.25">
      <c r="A243" s="132"/>
      <c r="B243" s="133"/>
      <c r="C243" s="133"/>
      <c r="D243" s="133"/>
      <c r="E243" s="133"/>
      <c r="F243" s="133"/>
      <c r="G243" s="16" t="s">
        <v>492</v>
      </c>
      <c r="H243" s="17">
        <v>43466</v>
      </c>
      <c r="I243" s="17">
        <v>43555</v>
      </c>
      <c r="J243" s="47" t="s">
        <v>455</v>
      </c>
      <c r="K243" s="119"/>
      <c r="L243" s="102"/>
      <c r="M243" s="117"/>
      <c r="N243" s="102"/>
      <c r="O243" s="102"/>
      <c r="P243" s="101"/>
      <c r="Q243" s="101"/>
      <c r="R243" s="102"/>
      <c r="S243" s="106"/>
      <c r="T243" s="106"/>
      <c r="U243" s="107"/>
      <c r="V243" s="117"/>
      <c r="W243" s="102"/>
      <c r="X243" s="102"/>
      <c r="Y243" s="101"/>
      <c r="Z243" s="101"/>
      <c r="AA243" s="102"/>
      <c r="AB243" s="106"/>
      <c r="AC243" s="106"/>
      <c r="AD243" s="107"/>
      <c r="AE243" s="117"/>
      <c r="AF243" s="102"/>
      <c r="AG243" s="102"/>
      <c r="AH243" s="101"/>
      <c r="AI243" s="101"/>
      <c r="AJ243" s="102"/>
      <c r="AK243" s="106"/>
      <c r="AL243" s="106"/>
    </row>
    <row r="244" spans="1:38" ht="31.5" customHeight="1" x14ac:dyDescent="0.25">
      <c r="A244" s="132"/>
      <c r="B244" s="133"/>
      <c r="C244" s="133"/>
      <c r="D244" s="133"/>
      <c r="E244" s="133"/>
      <c r="F244" s="133"/>
      <c r="G244" s="16" t="s">
        <v>493</v>
      </c>
      <c r="H244" s="17">
        <v>43556</v>
      </c>
      <c r="I244" s="17" t="s">
        <v>494</v>
      </c>
      <c r="J244" s="47" t="s">
        <v>455</v>
      </c>
      <c r="K244" s="119"/>
      <c r="L244" s="102"/>
      <c r="M244" s="117"/>
      <c r="N244" s="102"/>
      <c r="O244" s="102"/>
      <c r="P244" s="101"/>
      <c r="Q244" s="101"/>
      <c r="R244" s="102"/>
      <c r="S244" s="106"/>
      <c r="T244" s="106"/>
      <c r="U244" s="107"/>
      <c r="V244" s="117"/>
      <c r="W244" s="102"/>
      <c r="X244" s="102"/>
      <c r="Y244" s="101"/>
      <c r="Z244" s="101"/>
      <c r="AA244" s="102"/>
      <c r="AB244" s="106"/>
      <c r="AC244" s="106"/>
      <c r="AD244" s="107"/>
      <c r="AE244" s="117"/>
      <c r="AF244" s="102"/>
      <c r="AG244" s="102"/>
      <c r="AH244" s="101"/>
      <c r="AI244" s="101"/>
      <c r="AJ244" s="102"/>
      <c r="AK244" s="106"/>
      <c r="AL244" s="106"/>
    </row>
    <row r="245" spans="1:38" ht="31.5" x14ac:dyDescent="0.25">
      <c r="A245" s="132"/>
      <c r="B245" s="133"/>
      <c r="C245" s="133"/>
      <c r="D245" s="133"/>
      <c r="E245" s="133"/>
      <c r="F245" s="133"/>
      <c r="G245" s="16" t="s">
        <v>495</v>
      </c>
      <c r="H245" s="17">
        <v>43647</v>
      </c>
      <c r="I245" s="17">
        <v>43830</v>
      </c>
      <c r="J245" s="47" t="s">
        <v>455</v>
      </c>
      <c r="K245" s="119"/>
      <c r="L245" s="102"/>
      <c r="M245" s="117"/>
      <c r="N245" s="102"/>
      <c r="O245" s="102"/>
      <c r="P245" s="101"/>
      <c r="Q245" s="101"/>
      <c r="R245" s="102"/>
      <c r="S245" s="106"/>
      <c r="T245" s="106"/>
      <c r="U245" s="107"/>
      <c r="V245" s="117"/>
      <c r="W245" s="102"/>
      <c r="X245" s="102"/>
      <c r="Y245" s="101"/>
      <c r="Z245" s="101"/>
      <c r="AA245" s="102"/>
      <c r="AB245" s="106"/>
      <c r="AC245" s="106"/>
      <c r="AD245" s="107"/>
      <c r="AE245" s="117"/>
      <c r="AF245" s="102"/>
      <c r="AG245" s="102"/>
      <c r="AH245" s="101"/>
      <c r="AI245" s="101"/>
      <c r="AJ245" s="102"/>
      <c r="AK245" s="106"/>
      <c r="AL245" s="106"/>
    </row>
    <row r="246" spans="1:38" ht="63" customHeight="1" x14ac:dyDescent="0.25">
      <c r="A246" s="132"/>
      <c r="B246" s="133"/>
      <c r="C246" s="133"/>
      <c r="D246" s="133"/>
      <c r="E246" s="133"/>
      <c r="F246" s="133"/>
      <c r="G246" s="16" t="s">
        <v>496</v>
      </c>
      <c r="H246" s="17">
        <v>43709</v>
      </c>
      <c r="I246" s="17">
        <v>43830</v>
      </c>
      <c r="J246" s="47" t="s">
        <v>455</v>
      </c>
      <c r="K246" s="119"/>
      <c r="L246" s="102"/>
      <c r="M246" s="117"/>
      <c r="N246" s="102"/>
      <c r="O246" s="102"/>
      <c r="P246" s="101"/>
      <c r="Q246" s="101"/>
      <c r="R246" s="102"/>
      <c r="S246" s="106"/>
      <c r="T246" s="106"/>
      <c r="U246" s="107"/>
      <c r="V246" s="117"/>
      <c r="W246" s="102"/>
      <c r="X246" s="102"/>
      <c r="Y246" s="101"/>
      <c r="Z246" s="101"/>
      <c r="AA246" s="102"/>
      <c r="AB246" s="106"/>
      <c r="AC246" s="106"/>
      <c r="AD246" s="107"/>
      <c r="AE246" s="117"/>
      <c r="AF246" s="102"/>
      <c r="AG246" s="102"/>
      <c r="AH246" s="101"/>
      <c r="AI246" s="101"/>
      <c r="AJ246" s="102"/>
      <c r="AK246" s="106"/>
      <c r="AL246" s="106"/>
    </row>
    <row r="247" spans="1:38" ht="31.5" x14ac:dyDescent="0.25">
      <c r="A247" s="132"/>
      <c r="B247" s="133"/>
      <c r="C247" s="133"/>
      <c r="D247" s="133"/>
      <c r="E247" s="133"/>
      <c r="F247" s="133"/>
      <c r="G247" s="16" t="s">
        <v>497</v>
      </c>
      <c r="H247" s="17">
        <v>43709</v>
      </c>
      <c r="I247" s="17">
        <v>43830</v>
      </c>
      <c r="J247" s="47" t="s">
        <v>455</v>
      </c>
      <c r="K247" s="119"/>
      <c r="L247" s="102"/>
      <c r="M247" s="117"/>
      <c r="N247" s="102"/>
      <c r="O247" s="102"/>
      <c r="P247" s="101"/>
      <c r="Q247" s="101"/>
      <c r="R247" s="102"/>
      <c r="S247" s="106"/>
      <c r="T247" s="106"/>
      <c r="U247" s="107"/>
      <c r="V247" s="117"/>
      <c r="W247" s="102"/>
      <c r="X247" s="102"/>
      <c r="Y247" s="101"/>
      <c r="Z247" s="101"/>
      <c r="AA247" s="102"/>
      <c r="AB247" s="106"/>
      <c r="AC247" s="106"/>
      <c r="AD247" s="107"/>
      <c r="AE247" s="117"/>
      <c r="AF247" s="102"/>
      <c r="AG247" s="102"/>
      <c r="AH247" s="101"/>
      <c r="AI247" s="101"/>
      <c r="AJ247" s="102"/>
      <c r="AK247" s="106"/>
      <c r="AL247" s="106"/>
    </row>
    <row r="248" spans="1:38" ht="31.5" x14ac:dyDescent="0.25">
      <c r="A248" s="132"/>
      <c r="B248" s="133"/>
      <c r="C248" s="133"/>
      <c r="D248" s="133"/>
      <c r="E248" s="133"/>
      <c r="F248" s="133"/>
      <c r="G248" s="16" t="s">
        <v>498</v>
      </c>
      <c r="H248" s="17">
        <v>43739</v>
      </c>
      <c r="I248" s="17">
        <v>43830</v>
      </c>
      <c r="J248" s="47" t="s">
        <v>455</v>
      </c>
      <c r="K248" s="119"/>
      <c r="L248" s="102"/>
      <c r="M248" s="117"/>
      <c r="N248" s="102"/>
      <c r="O248" s="102"/>
      <c r="P248" s="101"/>
      <c r="Q248" s="101"/>
      <c r="R248" s="102"/>
      <c r="S248" s="106"/>
      <c r="T248" s="106"/>
      <c r="U248" s="107"/>
      <c r="V248" s="117"/>
      <c r="W248" s="102"/>
      <c r="X248" s="102"/>
      <c r="Y248" s="101"/>
      <c r="Z248" s="101"/>
      <c r="AA248" s="102"/>
      <c r="AB248" s="106"/>
      <c r="AC248" s="106"/>
      <c r="AD248" s="107"/>
      <c r="AE248" s="117"/>
      <c r="AF248" s="102"/>
      <c r="AG248" s="102"/>
      <c r="AH248" s="101"/>
      <c r="AI248" s="101"/>
      <c r="AJ248" s="102"/>
      <c r="AK248" s="106"/>
      <c r="AL248" s="106"/>
    </row>
    <row r="249" spans="1:38" ht="31.5" customHeight="1" x14ac:dyDescent="0.25">
      <c r="A249" s="132" t="s">
        <v>14</v>
      </c>
      <c r="B249" s="133" t="s">
        <v>499</v>
      </c>
      <c r="C249" s="133">
        <v>49</v>
      </c>
      <c r="D249" s="133" t="s">
        <v>500</v>
      </c>
      <c r="E249" s="133">
        <v>0</v>
      </c>
      <c r="F249" s="133" t="s">
        <v>501</v>
      </c>
      <c r="G249" s="16" t="s">
        <v>502</v>
      </c>
      <c r="H249" s="17">
        <v>43466</v>
      </c>
      <c r="I249" s="17">
        <v>43496</v>
      </c>
      <c r="J249" s="47" t="s">
        <v>455</v>
      </c>
      <c r="K249" s="119" t="s">
        <v>503</v>
      </c>
      <c r="L249" s="102" t="s">
        <v>472</v>
      </c>
      <c r="M249" s="117" t="s">
        <v>504</v>
      </c>
      <c r="N249" s="102" t="s">
        <v>942</v>
      </c>
      <c r="O249" s="102" t="s">
        <v>942</v>
      </c>
      <c r="P249" s="101" t="str">
        <f>IFERROR((0%/0%),"No aplica")</f>
        <v>No aplica</v>
      </c>
      <c r="Q249" s="101">
        <f>IFERROR((0%/100%),"No aplica")</f>
        <v>0</v>
      </c>
      <c r="R249" s="102" t="s">
        <v>697</v>
      </c>
      <c r="S249" s="106" t="s">
        <v>948</v>
      </c>
      <c r="T249" s="106" t="s">
        <v>947</v>
      </c>
      <c r="U249" s="107" t="s">
        <v>946</v>
      </c>
      <c r="V249" s="117" t="s">
        <v>504</v>
      </c>
      <c r="W249" s="102" t="s">
        <v>942</v>
      </c>
      <c r="X249" s="102" t="s">
        <v>942</v>
      </c>
      <c r="Y249" s="101" t="str">
        <f>IFERROR((0%/0%),"No aplica")</f>
        <v>No aplica</v>
      </c>
      <c r="Z249" s="101">
        <f>IFERROR((0%/100%),"No aplica")</f>
        <v>0</v>
      </c>
      <c r="AA249" s="102" t="s">
        <v>697</v>
      </c>
      <c r="AB249" s="106" t="s">
        <v>945</v>
      </c>
      <c r="AC249" s="106" t="s">
        <v>944</v>
      </c>
      <c r="AD249" s="107" t="s">
        <v>943</v>
      </c>
      <c r="AE249" s="117" t="s">
        <v>504</v>
      </c>
      <c r="AF249" s="102" t="s">
        <v>942</v>
      </c>
      <c r="AG249" s="102" t="s">
        <v>942</v>
      </c>
      <c r="AH249" s="101" t="str">
        <f>IFERROR((0%/0%),"No aplica")</f>
        <v>No aplica</v>
      </c>
      <c r="AI249" s="101">
        <f>IFERROR((0%/100%),"No aplica")</f>
        <v>0</v>
      </c>
      <c r="AJ249" s="102" t="s">
        <v>697</v>
      </c>
      <c r="AK249" s="106" t="s">
        <v>941</v>
      </c>
      <c r="AL249" s="106" t="s">
        <v>940</v>
      </c>
    </row>
    <row r="250" spans="1:38" ht="31.5" x14ac:dyDescent="0.25">
      <c r="A250" s="132"/>
      <c r="B250" s="133"/>
      <c r="C250" s="133"/>
      <c r="D250" s="133"/>
      <c r="E250" s="133"/>
      <c r="F250" s="133"/>
      <c r="G250" s="16" t="s">
        <v>505</v>
      </c>
      <c r="H250" s="17">
        <v>43497</v>
      </c>
      <c r="I250" s="17">
        <v>43524</v>
      </c>
      <c r="J250" s="47" t="s">
        <v>455</v>
      </c>
      <c r="K250" s="119"/>
      <c r="L250" s="102"/>
      <c r="M250" s="117"/>
      <c r="N250" s="102"/>
      <c r="O250" s="102"/>
      <c r="P250" s="101"/>
      <c r="Q250" s="101"/>
      <c r="R250" s="102"/>
      <c r="S250" s="106"/>
      <c r="T250" s="106"/>
      <c r="U250" s="107"/>
      <c r="V250" s="117"/>
      <c r="W250" s="102"/>
      <c r="X250" s="102"/>
      <c r="Y250" s="101"/>
      <c r="Z250" s="101"/>
      <c r="AA250" s="102"/>
      <c r="AB250" s="106"/>
      <c r="AC250" s="106"/>
      <c r="AD250" s="107"/>
      <c r="AE250" s="117"/>
      <c r="AF250" s="102"/>
      <c r="AG250" s="102"/>
      <c r="AH250" s="101"/>
      <c r="AI250" s="101"/>
      <c r="AJ250" s="102"/>
      <c r="AK250" s="106"/>
      <c r="AL250" s="106"/>
    </row>
    <row r="251" spans="1:38" ht="31.5" customHeight="1" x14ac:dyDescent="0.25">
      <c r="A251" s="132"/>
      <c r="B251" s="133"/>
      <c r="C251" s="133"/>
      <c r="D251" s="133"/>
      <c r="E251" s="133"/>
      <c r="F251" s="133"/>
      <c r="G251" s="16" t="s">
        <v>506</v>
      </c>
      <c r="H251" s="17">
        <v>43525</v>
      </c>
      <c r="I251" s="17">
        <v>43616</v>
      </c>
      <c r="J251" s="47" t="s">
        <v>455</v>
      </c>
      <c r="K251" s="119"/>
      <c r="L251" s="102"/>
      <c r="M251" s="117"/>
      <c r="N251" s="102"/>
      <c r="O251" s="102"/>
      <c r="P251" s="101"/>
      <c r="Q251" s="101"/>
      <c r="R251" s="102"/>
      <c r="S251" s="106"/>
      <c r="T251" s="106"/>
      <c r="U251" s="107"/>
      <c r="V251" s="117"/>
      <c r="W251" s="102"/>
      <c r="X251" s="102"/>
      <c r="Y251" s="101"/>
      <c r="Z251" s="101"/>
      <c r="AA251" s="102"/>
      <c r="AB251" s="106"/>
      <c r="AC251" s="106"/>
      <c r="AD251" s="107"/>
      <c r="AE251" s="117"/>
      <c r="AF251" s="102"/>
      <c r="AG251" s="102"/>
      <c r="AH251" s="101"/>
      <c r="AI251" s="101"/>
      <c r="AJ251" s="102"/>
      <c r="AK251" s="106"/>
      <c r="AL251" s="106"/>
    </row>
    <row r="252" spans="1:38" ht="31.5" x14ac:dyDescent="0.25">
      <c r="A252" s="132"/>
      <c r="B252" s="133"/>
      <c r="C252" s="133"/>
      <c r="D252" s="133"/>
      <c r="E252" s="133"/>
      <c r="F252" s="133"/>
      <c r="G252" s="16" t="s">
        <v>507</v>
      </c>
      <c r="H252" s="17">
        <v>43466</v>
      </c>
      <c r="I252" s="17">
        <v>43830</v>
      </c>
      <c r="J252" s="47" t="s">
        <v>455</v>
      </c>
      <c r="K252" s="119"/>
      <c r="L252" s="102"/>
      <c r="M252" s="117"/>
      <c r="N252" s="102"/>
      <c r="O252" s="102"/>
      <c r="P252" s="101"/>
      <c r="Q252" s="101"/>
      <c r="R252" s="102"/>
      <c r="S252" s="106"/>
      <c r="T252" s="106"/>
      <c r="U252" s="107"/>
      <c r="V252" s="117"/>
      <c r="W252" s="102"/>
      <c r="X252" s="102"/>
      <c r="Y252" s="101"/>
      <c r="Z252" s="101"/>
      <c r="AA252" s="102"/>
      <c r="AB252" s="106"/>
      <c r="AC252" s="106"/>
      <c r="AD252" s="107"/>
      <c r="AE252" s="117"/>
      <c r="AF252" s="102"/>
      <c r="AG252" s="102"/>
      <c r="AH252" s="101"/>
      <c r="AI252" s="101"/>
      <c r="AJ252" s="102"/>
      <c r="AK252" s="106"/>
      <c r="AL252" s="106"/>
    </row>
    <row r="253" spans="1:38" ht="31.5" x14ac:dyDescent="0.25">
      <c r="A253" s="132"/>
      <c r="B253" s="133"/>
      <c r="C253" s="133"/>
      <c r="D253" s="133"/>
      <c r="E253" s="133"/>
      <c r="F253" s="133" t="s">
        <v>508</v>
      </c>
      <c r="G253" s="16" t="s">
        <v>509</v>
      </c>
      <c r="H253" s="17">
        <v>43497</v>
      </c>
      <c r="I253" s="17">
        <v>43646</v>
      </c>
      <c r="J253" s="49" t="s">
        <v>455</v>
      </c>
      <c r="K253" s="119"/>
      <c r="L253" s="102"/>
      <c r="M253" s="117"/>
      <c r="N253" s="102"/>
      <c r="O253" s="102"/>
      <c r="P253" s="101"/>
      <c r="Q253" s="101"/>
      <c r="R253" s="102"/>
      <c r="S253" s="106"/>
      <c r="T253" s="106"/>
      <c r="U253" s="107"/>
      <c r="V253" s="117"/>
      <c r="W253" s="102"/>
      <c r="X253" s="102"/>
      <c r="Y253" s="101"/>
      <c r="Z253" s="101"/>
      <c r="AA253" s="102"/>
      <c r="AB253" s="106"/>
      <c r="AC253" s="106"/>
      <c r="AD253" s="107"/>
      <c r="AE253" s="117"/>
      <c r="AF253" s="102"/>
      <c r="AG253" s="102"/>
      <c r="AH253" s="101"/>
      <c r="AI253" s="101"/>
      <c r="AJ253" s="102"/>
      <c r="AK253" s="106"/>
      <c r="AL253" s="106"/>
    </row>
    <row r="254" spans="1:38" ht="31.5" x14ac:dyDescent="0.25">
      <c r="A254" s="132"/>
      <c r="B254" s="133"/>
      <c r="C254" s="133"/>
      <c r="D254" s="133"/>
      <c r="E254" s="133"/>
      <c r="F254" s="133"/>
      <c r="G254" s="16" t="s">
        <v>510</v>
      </c>
      <c r="H254" s="17">
        <v>43647</v>
      </c>
      <c r="I254" s="17">
        <v>43830</v>
      </c>
      <c r="J254" s="49" t="s">
        <v>455</v>
      </c>
      <c r="K254" s="119"/>
      <c r="L254" s="102"/>
      <c r="M254" s="117"/>
      <c r="N254" s="102"/>
      <c r="O254" s="102"/>
      <c r="P254" s="101"/>
      <c r="Q254" s="101"/>
      <c r="R254" s="102"/>
      <c r="S254" s="106"/>
      <c r="T254" s="106"/>
      <c r="U254" s="107"/>
      <c r="V254" s="117"/>
      <c r="W254" s="102"/>
      <c r="X254" s="102"/>
      <c r="Y254" s="101"/>
      <c r="Z254" s="101"/>
      <c r="AA254" s="102"/>
      <c r="AB254" s="106"/>
      <c r="AC254" s="106"/>
      <c r="AD254" s="107"/>
      <c r="AE254" s="117"/>
      <c r="AF254" s="102"/>
      <c r="AG254" s="102"/>
      <c r="AH254" s="101"/>
      <c r="AI254" s="101"/>
      <c r="AJ254" s="102"/>
      <c r="AK254" s="106"/>
      <c r="AL254" s="106"/>
    </row>
    <row r="255" spans="1:38" ht="31.5" x14ac:dyDescent="0.25">
      <c r="A255" s="132"/>
      <c r="B255" s="133"/>
      <c r="C255" s="133"/>
      <c r="D255" s="133"/>
      <c r="E255" s="133"/>
      <c r="F255" s="133"/>
      <c r="G255" s="16" t="s">
        <v>511</v>
      </c>
      <c r="H255" s="17">
        <v>43739</v>
      </c>
      <c r="I255" s="17">
        <v>43830</v>
      </c>
      <c r="J255" s="47" t="s">
        <v>455</v>
      </c>
      <c r="K255" s="119"/>
      <c r="L255" s="102"/>
      <c r="M255" s="117"/>
      <c r="N255" s="102"/>
      <c r="O255" s="102"/>
      <c r="P255" s="101"/>
      <c r="Q255" s="101"/>
      <c r="R255" s="102"/>
      <c r="S255" s="106"/>
      <c r="T255" s="106"/>
      <c r="U255" s="107"/>
      <c r="V255" s="117"/>
      <c r="W255" s="102"/>
      <c r="X255" s="102"/>
      <c r="Y255" s="101"/>
      <c r="Z255" s="101"/>
      <c r="AA255" s="102"/>
      <c r="AB255" s="106"/>
      <c r="AC255" s="106"/>
      <c r="AD255" s="107"/>
      <c r="AE255" s="117"/>
      <c r="AF255" s="102"/>
      <c r="AG255" s="102"/>
      <c r="AH255" s="101"/>
      <c r="AI255" s="101"/>
      <c r="AJ255" s="102"/>
      <c r="AK255" s="106"/>
      <c r="AL255" s="106"/>
    </row>
    <row r="256" spans="1:38" ht="31.5" customHeight="1" x14ac:dyDescent="0.25">
      <c r="A256" s="117" t="s">
        <v>14</v>
      </c>
      <c r="B256" s="102" t="s">
        <v>512</v>
      </c>
      <c r="C256" s="102">
        <v>50</v>
      </c>
      <c r="D256" s="102" t="s">
        <v>513</v>
      </c>
      <c r="E256" s="148">
        <v>0</v>
      </c>
      <c r="F256" s="102" t="s">
        <v>514</v>
      </c>
      <c r="G256" s="81" t="s">
        <v>515</v>
      </c>
      <c r="H256" s="12">
        <v>43466</v>
      </c>
      <c r="I256" s="12">
        <v>43497</v>
      </c>
      <c r="J256" s="46" t="s">
        <v>455</v>
      </c>
      <c r="K256" s="119" t="s">
        <v>503</v>
      </c>
      <c r="L256" s="102" t="s">
        <v>472</v>
      </c>
      <c r="M256" s="117" t="s">
        <v>516</v>
      </c>
      <c r="N256" s="102" t="s">
        <v>933</v>
      </c>
      <c r="O256" s="102" t="s">
        <v>933</v>
      </c>
      <c r="P256" s="101" t="str">
        <f>IFERROR((0/0),"No aplica")</f>
        <v>No aplica</v>
      </c>
      <c r="Q256" s="101">
        <f>IFERROR((0/1),"No aplica")</f>
        <v>0</v>
      </c>
      <c r="R256" s="102" t="s">
        <v>697</v>
      </c>
      <c r="S256" s="106" t="s">
        <v>939</v>
      </c>
      <c r="T256" s="106" t="s">
        <v>938</v>
      </c>
      <c r="U256" s="107" t="s">
        <v>937</v>
      </c>
      <c r="V256" s="117" t="s">
        <v>516</v>
      </c>
      <c r="W256" s="102" t="s">
        <v>933</v>
      </c>
      <c r="X256" s="102" t="s">
        <v>933</v>
      </c>
      <c r="Y256" s="101" t="str">
        <f>IFERROR((0/0),"No aplica")</f>
        <v>No aplica</v>
      </c>
      <c r="Z256" s="101">
        <f>IFERROR((0/1),"No aplica")</f>
        <v>0</v>
      </c>
      <c r="AA256" s="102" t="s">
        <v>697</v>
      </c>
      <c r="AB256" s="106" t="s">
        <v>936</v>
      </c>
      <c r="AC256" s="106" t="s">
        <v>935</v>
      </c>
      <c r="AD256" s="107" t="s">
        <v>934</v>
      </c>
      <c r="AE256" s="117" t="s">
        <v>516</v>
      </c>
      <c r="AF256" s="102" t="s">
        <v>933</v>
      </c>
      <c r="AG256" s="102" t="s">
        <v>933</v>
      </c>
      <c r="AH256" s="101" t="str">
        <f>IFERROR((0/0),"No aplica")</f>
        <v>No aplica</v>
      </c>
      <c r="AI256" s="101">
        <f>IFERROR((0/1),"No aplica")</f>
        <v>0</v>
      </c>
      <c r="AJ256" s="102" t="s">
        <v>697</v>
      </c>
      <c r="AK256" s="106" t="s">
        <v>932</v>
      </c>
      <c r="AL256" s="106" t="s">
        <v>931</v>
      </c>
    </row>
    <row r="257" spans="1:38" ht="31.5" customHeight="1" x14ac:dyDescent="0.25">
      <c r="A257" s="117"/>
      <c r="B257" s="102"/>
      <c r="C257" s="102"/>
      <c r="D257" s="102"/>
      <c r="E257" s="148"/>
      <c r="F257" s="102"/>
      <c r="G257" s="81" t="s">
        <v>517</v>
      </c>
      <c r="H257" s="12">
        <v>43586</v>
      </c>
      <c r="I257" s="12">
        <v>43769</v>
      </c>
      <c r="J257" s="46" t="s">
        <v>455</v>
      </c>
      <c r="K257" s="119"/>
      <c r="L257" s="102"/>
      <c r="M257" s="117"/>
      <c r="N257" s="102"/>
      <c r="O257" s="102"/>
      <c r="P257" s="101"/>
      <c r="Q257" s="101"/>
      <c r="R257" s="102"/>
      <c r="S257" s="106"/>
      <c r="T257" s="106"/>
      <c r="U257" s="107"/>
      <c r="V257" s="117"/>
      <c r="W257" s="102"/>
      <c r="X257" s="102"/>
      <c r="Y257" s="101"/>
      <c r="Z257" s="101"/>
      <c r="AA257" s="102"/>
      <c r="AB257" s="106"/>
      <c r="AC257" s="106"/>
      <c r="AD257" s="107"/>
      <c r="AE257" s="117"/>
      <c r="AF257" s="102"/>
      <c r="AG257" s="102"/>
      <c r="AH257" s="101"/>
      <c r="AI257" s="101"/>
      <c r="AJ257" s="102"/>
      <c r="AK257" s="106"/>
      <c r="AL257" s="106"/>
    </row>
    <row r="258" spans="1:38" ht="31.5" x14ac:dyDescent="0.25">
      <c r="A258" s="117"/>
      <c r="B258" s="102"/>
      <c r="C258" s="102"/>
      <c r="D258" s="102"/>
      <c r="E258" s="148"/>
      <c r="F258" s="102"/>
      <c r="G258" s="81" t="s">
        <v>518</v>
      </c>
      <c r="H258" s="12">
        <v>43647</v>
      </c>
      <c r="I258" s="12">
        <v>43830</v>
      </c>
      <c r="J258" s="46" t="s">
        <v>455</v>
      </c>
      <c r="K258" s="119"/>
      <c r="L258" s="102"/>
      <c r="M258" s="117"/>
      <c r="N258" s="102"/>
      <c r="O258" s="102"/>
      <c r="P258" s="101"/>
      <c r="Q258" s="101"/>
      <c r="R258" s="102"/>
      <c r="S258" s="106"/>
      <c r="T258" s="106"/>
      <c r="U258" s="107"/>
      <c r="V258" s="117"/>
      <c r="W258" s="102"/>
      <c r="X258" s="102"/>
      <c r="Y258" s="101"/>
      <c r="Z258" s="101"/>
      <c r="AA258" s="102"/>
      <c r="AB258" s="106"/>
      <c r="AC258" s="106"/>
      <c r="AD258" s="107"/>
      <c r="AE258" s="117"/>
      <c r="AF258" s="102"/>
      <c r="AG258" s="102"/>
      <c r="AH258" s="101"/>
      <c r="AI258" s="101"/>
      <c r="AJ258" s="102"/>
      <c r="AK258" s="106"/>
      <c r="AL258" s="106"/>
    </row>
    <row r="259" spans="1:38" ht="31.5" customHeight="1" x14ac:dyDescent="0.25">
      <c r="A259" s="117"/>
      <c r="B259" s="102"/>
      <c r="C259" s="102"/>
      <c r="D259" s="102"/>
      <c r="E259" s="148"/>
      <c r="F259" s="102"/>
      <c r="G259" s="81" t="s">
        <v>519</v>
      </c>
      <c r="H259" s="12">
        <v>43739</v>
      </c>
      <c r="I259" s="12">
        <v>43830</v>
      </c>
      <c r="J259" s="46" t="s">
        <v>455</v>
      </c>
      <c r="K259" s="119"/>
      <c r="L259" s="102"/>
      <c r="M259" s="117"/>
      <c r="N259" s="102"/>
      <c r="O259" s="102"/>
      <c r="P259" s="101"/>
      <c r="Q259" s="101"/>
      <c r="R259" s="102"/>
      <c r="S259" s="106"/>
      <c r="T259" s="106"/>
      <c r="U259" s="107"/>
      <c r="V259" s="117"/>
      <c r="W259" s="102"/>
      <c r="X259" s="102"/>
      <c r="Y259" s="101"/>
      <c r="Z259" s="101"/>
      <c r="AA259" s="102"/>
      <c r="AB259" s="106"/>
      <c r="AC259" s="106"/>
      <c r="AD259" s="107"/>
      <c r="AE259" s="117"/>
      <c r="AF259" s="102"/>
      <c r="AG259" s="102"/>
      <c r="AH259" s="101"/>
      <c r="AI259" s="101"/>
      <c r="AJ259" s="102"/>
      <c r="AK259" s="106"/>
      <c r="AL259" s="106"/>
    </row>
    <row r="260" spans="1:38" ht="38.25" customHeight="1" x14ac:dyDescent="0.25">
      <c r="A260" s="117"/>
      <c r="B260" s="102"/>
      <c r="C260" s="102"/>
      <c r="D260" s="102"/>
      <c r="E260" s="148"/>
      <c r="F260" s="102"/>
      <c r="G260" s="81" t="s">
        <v>520</v>
      </c>
      <c r="H260" s="12">
        <v>43617</v>
      </c>
      <c r="I260" s="12">
        <v>43830</v>
      </c>
      <c r="J260" s="46" t="s">
        <v>455</v>
      </c>
      <c r="K260" s="119"/>
      <c r="L260" s="102"/>
      <c r="M260" s="117"/>
      <c r="N260" s="102"/>
      <c r="O260" s="102"/>
      <c r="P260" s="101"/>
      <c r="Q260" s="101"/>
      <c r="R260" s="102"/>
      <c r="S260" s="106"/>
      <c r="T260" s="106"/>
      <c r="U260" s="107"/>
      <c r="V260" s="117"/>
      <c r="W260" s="102"/>
      <c r="X260" s="102"/>
      <c r="Y260" s="101"/>
      <c r="Z260" s="101"/>
      <c r="AA260" s="102"/>
      <c r="AB260" s="106"/>
      <c r="AC260" s="106"/>
      <c r="AD260" s="107"/>
      <c r="AE260" s="117"/>
      <c r="AF260" s="102"/>
      <c r="AG260" s="102"/>
      <c r="AH260" s="101"/>
      <c r="AI260" s="101"/>
      <c r="AJ260" s="102"/>
      <c r="AK260" s="106"/>
      <c r="AL260" s="106"/>
    </row>
    <row r="261" spans="1:38" x14ac:dyDescent="0.25">
      <c r="A261" s="38" t="s">
        <v>51</v>
      </c>
      <c r="B261" s="39" t="s">
        <v>51</v>
      </c>
      <c r="C261" s="39"/>
      <c r="D261" s="39" t="s">
        <v>51</v>
      </c>
      <c r="E261" s="39" t="s">
        <v>51</v>
      </c>
      <c r="F261" s="39" t="s">
        <v>51</v>
      </c>
      <c r="G261" s="44" t="s">
        <v>51</v>
      </c>
      <c r="H261" s="39" t="s">
        <v>51</v>
      </c>
      <c r="I261" s="39" t="s">
        <v>51</v>
      </c>
      <c r="J261" s="43" t="s">
        <v>51</v>
      </c>
      <c r="K261" s="42" t="s">
        <v>51</v>
      </c>
      <c r="L261" s="39" t="s">
        <v>51</v>
      </c>
      <c r="M261" s="38" t="s">
        <v>51</v>
      </c>
      <c r="N261" s="39"/>
      <c r="O261" s="39"/>
      <c r="P261" s="41"/>
      <c r="Q261" s="41"/>
      <c r="R261" s="39"/>
      <c r="S261" s="37"/>
      <c r="T261" s="37"/>
      <c r="U261" s="40"/>
      <c r="V261" s="38" t="s">
        <v>51</v>
      </c>
      <c r="W261" s="39"/>
      <c r="X261" s="39"/>
      <c r="Y261" s="39"/>
      <c r="Z261" s="48"/>
      <c r="AA261" s="39" t="s">
        <v>51</v>
      </c>
      <c r="AB261" s="37"/>
      <c r="AC261" s="37"/>
      <c r="AD261" s="40"/>
      <c r="AE261" s="38" t="s">
        <v>51</v>
      </c>
      <c r="AF261" s="39"/>
      <c r="AG261" s="39"/>
      <c r="AH261" s="39"/>
      <c r="AI261" s="48"/>
      <c r="AJ261" s="39" t="s">
        <v>51</v>
      </c>
      <c r="AK261" s="37"/>
      <c r="AL261" s="37"/>
    </row>
    <row r="262" spans="1:38" ht="64.5" customHeight="1" x14ac:dyDescent="0.25">
      <c r="A262" s="117" t="s">
        <v>147</v>
      </c>
      <c r="B262" s="102" t="s">
        <v>521</v>
      </c>
      <c r="C262" s="102">
        <v>51</v>
      </c>
      <c r="D262" s="102" t="s">
        <v>522</v>
      </c>
      <c r="E262" s="102" t="s">
        <v>523</v>
      </c>
      <c r="F262" s="102" t="s">
        <v>524</v>
      </c>
      <c r="G262" s="81" t="s">
        <v>525</v>
      </c>
      <c r="H262" s="12">
        <v>43473</v>
      </c>
      <c r="I262" s="12">
        <v>43585</v>
      </c>
      <c r="J262" s="46" t="s">
        <v>526</v>
      </c>
      <c r="K262" s="159" t="s">
        <v>338</v>
      </c>
      <c r="L262" s="160" t="s">
        <v>339</v>
      </c>
      <c r="M262" s="117" t="s">
        <v>527</v>
      </c>
      <c r="N262" s="102" t="s">
        <v>930</v>
      </c>
      <c r="O262" s="102" t="s">
        <v>929</v>
      </c>
      <c r="P262" s="101">
        <f>IFERROR((268/160),"No aplica")</f>
        <v>1.675</v>
      </c>
      <c r="Q262" s="101">
        <f>IFERROR((268/900),"No aplica")</f>
        <v>0.29777777777777775</v>
      </c>
      <c r="R262" s="102" t="s">
        <v>692</v>
      </c>
      <c r="S262" s="106" t="s">
        <v>928</v>
      </c>
      <c r="T262" s="106" t="s">
        <v>927</v>
      </c>
      <c r="U262" s="107" t="s">
        <v>926</v>
      </c>
      <c r="V262" s="117" t="s">
        <v>527</v>
      </c>
      <c r="W262" s="102" t="s">
        <v>925</v>
      </c>
      <c r="X262" s="113" t="s">
        <v>924</v>
      </c>
      <c r="Y262" s="108">
        <f>IFERROR((145/360),"No aplica")</f>
        <v>0.40277777777777779</v>
      </c>
      <c r="Z262" s="108">
        <f>IFERROR(((268+145)/900),"No aplica")</f>
        <v>0.4588888888888889</v>
      </c>
      <c r="AA262" s="102" t="s">
        <v>713</v>
      </c>
      <c r="AB262" s="106" t="s">
        <v>923</v>
      </c>
      <c r="AC262" s="106" t="s">
        <v>922</v>
      </c>
      <c r="AD262" s="107" t="s">
        <v>921</v>
      </c>
      <c r="AE262" s="117" t="s">
        <v>527</v>
      </c>
      <c r="AF262" s="102" t="s">
        <v>920</v>
      </c>
      <c r="AG262" s="113" t="s">
        <v>919</v>
      </c>
      <c r="AH262" s="108">
        <f>IFERROR((457/200),"No aplica")</f>
        <v>2.2850000000000001</v>
      </c>
      <c r="AI262" s="108">
        <f>IFERROR(((268+145+457)/900),"No aplica")</f>
        <v>0.96666666666666667</v>
      </c>
      <c r="AJ262" s="102" t="s">
        <v>692</v>
      </c>
      <c r="AK262" s="106" t="s">
        <v>918</v>
      </c>
      <c r="AL262" s="106" t="s">
        <v>917</v>
      </c>
    </row>
    <row r="263" spans="1:38" ht="64.5" customHeight="1" x14ac:dyDescent="0.25">
      <c r="A263" s="117"/>
      <c r="B263" s="102"/>
      <c r="C263" s="102"/>
      <c r="D263" s="102"/>
      <c r="E263" s="102"/>
      <c r="F263" s="102"/>
      <c r="G263" s="81" t="s">
        <v>528</v>
      </c>
      <c r="H263" s="12">
        <v>43556</v>
      </c>
      <c r="I263" s="12">
        <v>43830</v>
      </c>
      <c r="J263" s="46" t="s">
        <v>526</v>
      </c>
      <c r="K263" s="159"/>
      <c r="L263" s="160"/>
      <c r="M263" s="117"/>
      <c r="N263" s="102"/>
      <c r="O263" s="102"/>
      <c r="P263" s="101"/>
      <c r="Q263" s="101"/>
      <c r="R263" s="102"/>
      <c r="S263" s="106"/>
      <c r="T263" s="106"/>
      <c r="U263" s="107"/>
      <c r="V263" s="117"/>
      <c r="W263" s="102"/>
      <c r="X263" s="123"/>
      <c r="Y263" s="108"/>
      <c r="Z263" s="108"/>
      <c r="AA263" s="102"/>
      <c r="AB263" s="106"/>
      <c r="AC263" s="106"/>
      <c r="AD263" s="107"/>
      <c r="AE263" s="117"/>
      <c r="AF263" s="102"/>
      <c r="AG263" s="123"/>
      <c r="AH263" s="108"/>
      <c r="AI263" s="108"/>
      <c r="AJ263" s="102"/>
      <c r="AK263" s="106"/>
      <c r="AL263" s="106"/>
    </row>
    <row r="264" spans="1:38" ht="64.5" customHeight="1" x14ac:dyDescent="0.25">
      <c r="A264" s="117"/>
      <c r="B264" s="102"/>
      <c r="C264" s="102"/>
      <c r="D264" s="102"/>
      <c r="E264" s="102"/>
      <c r="F264" s="102"/>
      <c r="G264" s="81" t="s">
        <v>529</v>
      </c>
      <c r="H264" s="12">
        <v>43556</v>
      </c>
      <c r="I264" s="12">
        <v>43830</v>
      </c>
      <c r="J264" s="46" t="s">
        <v>526</v>
      </c>
      <c r="K264" s="159"/>
      <c r="L264" s="160"/>
      <c r="M264" s="117"/>
      <c r="N264" s="102"/>
      <c r="O264" s="102"/>
      <c r="P264" s="101"/>
      <c r="Q264" s="101"/>
      <c r="R264" s="102"/>
      <c r="S264" s="106"/>
      <c r="T264" s="106"/>
      <c r="U264" s="107"/>
      <c r="V264" s="117"/>
      <c r="W264" s="102"/>
      <c r="X264" s="123"/>
      <c r="Y264" s="108"/>
      <c r="Z264" s="108"/>
      <c r="AA264" s="102"/>
      <c r="AB264" s="106"/>
      <c r="AC264" s="106"/>
      <c r="AD264" s="107"/>
      <c r="AE264" s="117"/>
      <c r="AF264" s="102"/>
      <c r="AG264" s="123"/>
      <c r="AH264" s="108"/>
      <c r="AI264" s="108"/>
      <c r="AJ264" s="102"/>
      <c r="AK264" s="106"/>
      <c r="AL264" s="106"/>
    </row>
    <row r="265" spans="1:38" ht="64.5" customHeight="1" x14ac:dyDescent="0.25">
      <c r="A265" s="117"/>
      <c r="B265" s="102"/>
      <c r="C265" s="102"/>
      <c r="D265" s="102"/>
      <c r="E265" s="102"/>
      <c r="F265" s="102"/>
      <c r="G265" s="81" t="s">
        <v>530</v>
      </c>
      <c r="H265" s="12">
        <v>43556</v>
      </c>
      <c r="I265" s="12" t="s">
        <v>531</v>
      </c>
      <c r="J265" s="46" t="s">
        <v>526</v>
      </c>
      <c r="K265" s="159"/>
      <c r="L265" s="160"/>
      <c r="M265" s="117"/>
      <c r="N265" s="102"/>
      <c r="O265" s="102"/>
      <c r="P265" s="101"/>
      <c r="Q265" s="101"/>
      <c r="R265" s="102"/>
      <c r="S265" s="106"/>
      <c r="T265" s="106"/>
      <c r="U265" s="107"/>
      <c r="V265" s="117"/>
      <c r="W265" s="102"/>
      <c r="X265" s="123"/>
      <c r="Y265" s="108"/>
      <c r="Z265" s="108"/>
      <c r="AA265" s="102"/>
      <c r="AB265" s="106"/>
      <c r="AC265" s="106"/>
      <c r="AD265" s="107"/>
      <c r="AE265" s="117"/>
      <c r="AF265" s="102"/>
      <c r="AG265" s="123"/>
      <c r="AH265" s="108"/>
      <c r="AI265" s="108"/>
      <c r="AJ265" s="102"/>
      <c r="AK265" s="106"/>
      <c r="AL265" s="106"/>
    </row>
    <row r="266" spans="1:38" ht="64.5" customHeight="1" x14ac:dyDescent="0.25">
      <c r="A266" s="117"/>
      <c r="B266" s="102"/>
      <c r="C266" s="102"/>
      <c r="D266" s="102"/>
      <c r="E266" s="102"/>
      <c r="F266" s="102"/>
      <c r="G266" s="81" t="s">
        <v>532</v>
      </c>
      <c r="H266" s="12">
        <v>43770</v>
      </c>
      <c r="I266" s="12">
        <v>43830</v>
      </c>
      <c r="J266" s="46" t="s">
        <v>526</v>
      </c>
      <c r="K266" s="159"/>
      <c r="L266" s="160"/>
      <c r="M266" s="117"/>
      <c r="N266" s="102"/>
      <c r="O266" s="102"/>
      <c r="P266" s="101"/>
      <c r="Q266" s="101"/>
      <c r="R266" s="102"/>
      <c r="S266" s="106"/>
      <c r="T266" s="106"/>
      <c r="U266" s="107"/>
      <c r="V266" s="117"/>
      <c r="W266" s="102"/>
      <c r="X266" s="123"/>
      <c r="Y266" s="108"/>
      <c r="Z266" s="108"/>
      <c r="AA266" s="102"/>
      <c r="AB266" s="106"/>
      <c r="AC266" s="106"/>
      <c r="AD266" s="107"/>
      <c r="AE266" s="117"/>
      <c r="AF266" s="102"/>
      <c r="AG266" s="123"/>
      <c r="AH266" s="108"/>
      <c r="AI266" s="108"/>
      <c r="AJ266" s="102"/>
      <c r="AK266" s="106"/>
      <c r="AL266" s="106"/>
    </row>
    <row r="267" spans="1:38" ht="64.5" customHeight="1" x14ac:dyDescent="0.25">
      <c r="A267" s="117"/>
      <c r="B267" s="102"/>
      <c r="C267" s="102"/>
      <c r="D267" s="102"/>
      <c r="E267" s="102"/>
      <c r="F267" s="102"/>
      <c r="G267" s="81" t="s">
        <v>533</v>
      </c>
      <c r="H267" s="12">
        <v>43647</v>
      </c>
      <c r="I267" s="12">
        <v>43830</v>
      </c>
      <c r="J267" s="46" t="s">
        <v>526</v>
      </c>
      <c r="K267" s="159"/>
      <c r="L267" s="160"/>
      <c r="M267" s="117"/>
      <c r="N267" s="102"/>
      <c r="O267" s="102"/>
      <c r="P267" s="101"/>
      <c r="Q267" s="101"/>
      <c r="R267" s="102"/>
      <c r="S267" s="106"/>
      <c r="T267" s="106"/>
      <c r="U267" s="107"/>
      <c r="V267" s="117"/>
      <c r="W267" s="102"/>
      <c r="X267" s="124"/>
      <c r="Y267" s="108"/>
      <c r="Z267" s="108"/>
      <c r="AA267" s="102"/>
      <c r="AB267" s="106"/>
      <c r="AC267" s="106"/>
      <c r="AD267" s="107"/>
      <c r="AE267" s="117"/>
      <c r="AF267" s="102"/>
      <c r="AG267" s="124"/>
      <c r="AH267" s="108"/>
      <c r="AI267" s="108"/>
      <c r="AJ267" s="102"/>
      <c r="AK267" s="106"/>
      <c r="AL267" s="106"/>
    </row>
    <row r="268" spans="1:38" ht="74.25" customHeight="1" x14ac:dyDescent="0.25">
      <c r="A268" s="132" t="s">
        <v>147</v>
      </c>
      <c r="B268" s="133" t="s">
        <v>534</v>
      </c>
      <c r="C268" s="133">
        <v>52</v>
      </c>
      <c r="D268" s="133" t="s">
        <v>535</v>
      </c>
      <c r="E268" s="133">
        <v>0</v>
      </c>
      <c r="F268" s="133" t="s">
        <v>536</v>
      </c>
      <c r="G268" s="16" t="s">
        <v>537</v>
      </c>
      <c r="H268" s="17">
        <v>43473</v>
      </c>
      <c r="I268" s="17">
        <v>43769</v>
      </c>
      <c r="J268" s="47" t="s">
        <v>526</v>
      </c>
      <c r="K268" s="159" t="s">
        <v>538</v>
      </c>
      <c r="L268" s="160" t="s">
        <v>75</v>
      </c>
      <c r="M268" s="117" t="s">
        <v>539</v>
      </c>
      <c r="N268" s="102" t="s">
        <v>909</v>
      </c>
      <c r="O268" s="102" t="s">
        <v>909</v>
      </c>
      <c r="P268" s="101" t="str">
        <f>IFERROR((0/0),"No aplica")</f>
        <v>No aplica</v>
      </c>
      <c r="Q268" s="101">
        <f>IFERROR((0/4),"No aplica")</f>
        <v>0</v>
      </c>
      <c r="R268" s="102" t="s">
        <v>697</v>
      </c>
      <c r="S268" s="106" t="s">
        <v>916</v>
      </c>
      <c r="T268" s="106" t="s">
        <v>915</v>
      </c>
      <c r="U268" s="107" t="s">
        <v>914</v>
      </c>
      <c r="V268" s="117" t="s">
        <v>539</v>
      </c>
      <c r="W268" s="102" t="s">
        <v>909</v>
      </c>
      <c r="X268" s="102" t="s">
        <v>909</v>
      </c>
      <c r="Y268" s="101" t="str">
        <f>IFERROR((0/0),"No aplica")</f>
        <v>No aplica</v>
      </c>
      <c r="Z268" s="101">
        <f>IFERROR((0/4),"No aplica")</f>
        <v>0</v>
      </c>
      <c r="AA268" s="102" t="s">
        <v>697</v>
      </c>
      <c r="AB268" s="106" t="s">
        <v>913</v>
      </c>
      <c r="AC268" s="106" t="s">
        <v>912</v>
      </c>
      <c r="AD268" s="107" t="s">
        <v>911</v>
      </c>
      <c r="AE268" s="117" t="s">
        <v>539</v>
      </c>
      <c r="AF268" s="102" t="s">
        <v>910</v>
      </c>
      <c r="AG268" s="102" t="s">
        <v>909</v>
      </c>
      <c r="AH268" s="101">
        <f>IFERROR((0/2),"No aplica")</f>
        <v>0</v>
      </c>
      <c r="AI268" s="101">
        <f>IFERROR((0/4),"No aplica")</f>
        <v>0</v>
      </c>
      <c r="AJ268" s="102" t="s">
        <v>703</v>
      </c>
      <c r="AK268" s="106" t="s">
        <v>908</v>
      </c>
      <c r="AL268" s="106" t="s">
        <v>907</v>
      </c>
    </row>
    <row r="269" spans="1:38" ht="74.25" customHeight="1" x14ac:dyDescent="0.25">
      <c r="A269" s="132"/>
      <c r="B269" s="133"/>
      <c r="C269" s="133"/>
      <c r="D269" s="133"/>
      <c r="E269" s="133"/>
      <c r="F269" s="133"/>
      <c r="G269" s="16" t="s">
        <v>540</v>
      </c>
      <c r="H269" s="17">
        <v>43647</v>
      </c>
      <c r="I269" s="17">
        <v>43830</v>
      </c>
      <c r="J269" s="47" t="s">
        <v>526</v>
      </c>
      <c r="K269" s="159"/>
      <c r="L269" s="160"/>
      <c r="M269" s="117"/>
      <c r="N269" s="102"/>
      <c r="O269" s="102"/>
      <c r="P269" s="101"/>
      <c r="Q269" s="101"/>
      <c r="R269" s="102"/>
      <c r="S269" s="106"/>
      <c r="T269" s="106"/>
      <c r="U269" s="107"/>
      <c r="V269" s="117"/>
      <c r="W269" s="102"/>
      <c r="X269" s="102"/>
      <c r="Y269" s="101"/>
      <c r="Z269" s="101"/>
      <c r="AA269" s="102"/>
      <c r="AB269" s="106"/>
      <c r="AC269" s="106"/>
      <c r="AD269" s="107"/>
      <c r="AE269" s="117"/>
      <c r="AF269" s="102"/>
      <c r="AG269" s="102"/>
      <c r="AH269" s="101"/>
      <c r="AI269" s="101"/>
      <c r="AJ269" s="102"/>
      <c r="AK269" s="106"/>
      <c r="AL269" s="106"/>
    </row>
    <row r="270" spans="1:38" ht="47.25" customHeight="1" x14ac:dyDescent="0.25">
      <c r="A270" s="132" t="s">
        <v>147</v>
      </c>
      <c r="B270" s="133" t="s">
        <v>541</v>
      </c>
      <c r="C270" s="133">
        <v>53</v>
      </c>
      <c r="D270" s="133" t="s">
        <v>542</v>
      </c>
      <c r="E270" s="133">
        <v>0</v>
      </c>
      <c r="F270" s="133" t="s">
        <v>543</v>
      </c>
      <c r="G270" s="16" t="s">
        <v>544</v>
      </c>
      <c r="H270" s="17">
        <v>43473</v>
      </c>
      <c r="I270" s="17">
        <v>43769</v>
      </c>
      <c r="J270" s="47" t="s">
        <v>526</v>
      </c>
      <c r="K270" s="159" t="s">
        <v>538</v>
      </c>
      <c r="L270" s="160" t="s">
        <v>75</v>
      </c>
      <c r="M270" s="117" t="s">
        <v>545</v>
      </c>
      <c r="N270" s="102" t="s">
        <v>900</v>
      </c>
      <c r="O270" s="102" t="s">
        <v>900</v>
      </c>
      <c r="P270" s="101" t="str">
        <f>IFERROR((0/0),"No aplica")</f>
        <v>No aplica</v>
      </c>
      <c r="Q270" s="101">
        <f>IFERROR((0/4),"No aplica")</f>
        <v>0</v>
      </c>
      <c r="R270" s="102" t="s">
        <v>697</v>
      </c>
      <c r="S270" s="106" t="s">
        <v>906</v>
      </c>
      <c r="T270" s="106" t="s">
        <v>905</v>
      </c>
      <c r="U270" s="107" t="s">
        <v>904</v>
      </c>
      <c r="V270" s="117" t="s">
        <v>545</v>
      </c>
      <c r="W270" s="102" t="s">
        <v>900</v>
      </c>
      <c r="X270" s="102" t="s">
        <v>900</v>
      </c>
      <c r="Y270" s="101" t="str">
        <f>IFERROR((0/0),"No aplica")</f>
        <v>No aplica</v>
      </c>
      <c r="Z270" s="101">
        <f>IFERROR((0/4),"No aplica")</f>
        <v>0</v>
      </c>
      <c r="AA270" s="102" t="s">
        <v>697</v>
      </c>
      <c r="AB270" s="106" t="s">
        <v>903</v>
      </c>
      <c r="AC270" s="106" t="s">
        <v>902</v>
      </c>
      <c r="AD270" s="107" t="s">
        <v>901</v>
      </c>
      <c r="AE270" s="117" t="s">
        <v>545</v>
      </c>
      <c r="AF270" s="102" t="s">
        <v>900</v>
      </c>
      <c r="AG270" s="102" t="s">
        <v>899</v>
      </c>
      <c r="AH270" s="135" t="str">
        <f>IFERROR((2/0),"No aplica")</f>
        <v>No aplica</v>
      </c>
      <c r="AI270" s="101">
        <f>IFERROR((2/4),"No aplica")</f>
        <v>0.5</v>
      </c>
      <c r="AJ270" s="102" t="s">
        <v>692</v>
      </c>
      <c r="AK270" s="106" t="s">
        <v>1451</v>
      </c>
      <c r="AL270" s="106" t="s">
        <v>898</v>
      </c>
    </row>
    <row r="271" spans="1:38" ht="105" customHeight="1" x14ac:dyDescent="0.25">
      <c r="A271" s="132"/>
      <c r="B271" s="133"/>
      <c r="C271" s="133"/>
      <c r="D271" s="133"/>
      <c r="E271" s="133"/>
      <c r="F271" s="133"/>
      <c r="G271" s="16" t="s">
        <v>546</v>
      </c>
      <c r="H271" s="17">
        <v>43739</v>
      </c>
      <c r="I271" s="17">
        <v>43830</v>
      </c>
      <c r="J271" s="47" t="s">
        <v>526</v>
      </c>
      <c r="K271" s="159"/>
      <c r="L271" s="160"/>
      <c r="M271" s="117"/>
      <c r="N271" s="102"/>
      <c r="O271" s="102"/>
      <c r="P271" s="101"/>
      <c r="Q271" s="101"/>
      <c r="R271" s="102"/>
      <c r="S271" s="106"/>
      <c r="T271" s="106"/>
      <c r="U271" s="107"/>
      <c r="V271" s="117"/>
      <c r="W271" s="102"/>
      <c r="X271" s="102"/>
      <c r="Y271" s="101"/>
      <c r="Z271" s="101"/>
      <c r="AA271" s="102"/>
      <c r="AB271" s="106"/>
      <c r="AC271" s="106"/>
      <c r="AD271" s="107"/>
      <c r="AE271" s="117"/>
      <c r="AF271" s="102"/>
      <c r="AG271" s="102"/>
      <c r="AH271" s="135"/>
      <c r="AI271" s="101"/>
      <c r="AJ271" s="102"/>
      <c r="AK271" s="106"/>
      <c r="AL271" s="106"/>
    </row>
    <row r="272" spans="1:38" ht="123" customHeight="1" x14ac:dyDescent="0.25">
      <c r="A272" s="117" t="s">
        <v>147</v>
      </c>
      <c r="B272" s="102" t="s">
        <v>547</v>
      </c>
      <c r="C272" s="102">
        <v>54</v>
      </c>
      <c r="D272" s="102" t="s">
        <v>548</v>
      </c>
      <c r="E272" s="102">
        <v>0</v>
      </c>
      <c r="F272" s="102" t="s">
        <v>549</v>
      </c>
      <c r="G272" s="81" t="s">
        <v>550</v>
      </c>
      <c r="H272" s="12">
        <v>43525</v>
      </c>
      <c r="I272" s="12">
        <v>43830</v>
      </c>
      <c r="J272" s="46" t="s">
        <v>526</v>
      </c>
      <c r="K272" s="159" t="s">
        <v>551</v>
      </c>
      <c r="L272" s="160" t="s">
        <v>472</v>
      </c>
      <c r="M272" s="117" t="s">
        <v>552</v>
      </c>
      <c r="N272" s="102" t="s">
        <v>891</v>
      </c>
      <c r="O272" s="102" t="s">
        <v>891</v>
      </c>
      <c r="P272" s="101" t="str">
        <f>IFERROR((0/0),"No aplica")</f>
        <v>No aplica</v>
      </c>
      <c r="Q272" s="101">
        <f>IFERROR((0/5),"No aplica")</f>
        <v>0</v>
      </c>
      <c r="R272" s="102" t="s">
        <v>697</v>
      </c>
      <c r="S272" s="106" t="s">
        <v>897</v>
      </c>
      <c r="T272" s="106" t="s">
        <v>896</v>
      </c>
      <c r="U272" s="107" t="s">
        <v>895</v>
      </c>
      <c r="V272" s="117" t="s">
        <v>552</v>
      </c>
      <c r="W272" s="102" t="s">
        <v>891</v>
      </c>
      <c r="X272" s="102" t="s">
        <v>891</v>
      </c>
      <c r="Y272" s="101" t="str">
        <f>IFERROR((0/0),"No aplica")</f>
        <v>No aplica</v>
      </c>
      <c r="Z272" s="101">
        <f>IFERROR((0/5),"No aplica")</f>
        <v>0</v>
      </c>
      <c r="AA272" s="102" t="s">
        <v>697</v>
      </c>
      <c r="AB272" s="106" t="s">
        <v>894</v>
      </c>
      <c r="AC272" s="106" t="s">
        <v>893</v>
      </c>
      <c r="AD272" s="107" t="s">
        <v>892</v>
      </c>
      <c r="AE272" s="117" t="s">
        <v>552</v>
      </c>
      <c r="AF272" s="102" t="s">
        <v>552</v>
      </c>
      <c r="AG272" s="102" t="s">
        <v>891</v>
      </c>
      <c r="AH272" s="101">
        <f>IFERROR((0/5),"No aplica")</f>
        <v>0</v>
      </c>
      <c r="AI272" s="101">
        <f>IFERROR((0/5),"No aplica")</f>
        <v>0</v>
      </c>
      <c r="AJ272" s="102" t="s">
        <v>703</v>
      </c>
      <c r="AK272" s="106" t="s">
        <v>890</v>
      </c>
      <c r="AL272" s="106" t="s">
        <v>889</v>
      </c>
    </row>
    <row r="273" spans="1:38" ht="123" customHeight="1" x14ac:dyDescent="0.25">
      <c r="A273" s="117"/>
      <c r="B273" s="102"/>
      <c r="C273" s="102"/>
      <c r="D273" s="102"/>
      <c r="E273" s="102"/>
      <c r="F273" s="102"/>
      <c r="G273" s="81" t="s">
        <v>553</v>
      </c>
      <c r="H273" s="12">
        <v>43556</v>
      </c>
      <c r="I273" s="12">
        <v>43830</v>
      </c>
      <c r="J273" s="46" t="s">
        <v>526</v>
      </c>
      <c r="K273" s="159"/>
      <c r="L273" s="160"/>
      <c r="M273" s="117"/>
      <c r="N273" s="102"/>
      <c r="O273" s="102"/>
      <c r="P273" s="101"/>
      <c r="Q273" s="101"/>
      <c r="R273" s="102"/>
      <c r="S273" s="106"/>
      <c r="T273" s="106"/>
      <c r="U273" s="107"/>
      <c r="V273" s="117"/>
      <c r="W273" s="102"/>
      <c r="X273" s="102"/>
      <c r="Y273" s="101"/>
      <c r="Z273" s="101"/>
      <c r="AA273" s="102"/>
      <c r="AB273" s="106"/>
      <c r="AC273" s="106"/>
      <c r="AD273" s="107"/>
      <c r="AE273" s="117"/>
      <c r="AF273" s="102"/>
      <c r="AG273" s="102"/>
      <c r="AH273" s="101"/>
      <c r="AI273" s="101"/>
      <c r="AJ273" s="102"/>
      <c r="AK273" s="106"/>
      <c r="AL273" s="106"/>
    </row>
    <row r="274" spans="1:38" ht="97.5" customHeight="1" x14ac:dyDescent="0.25">
      <c r="A274" s="117" t="s">
        <v>147</v>
      </c>
      <c r="B274" s="102" t="s">
        <v>554</v>
      </c>
      <c r="C274" s="102">
        <v>55</v>
      </c>
      <c r="D274" s="102" t="s">
        <v>555</v>
      </c>
      <c r="E274" s="102">
        <v>0</v>
      </c>
      <c r="F274" s="102" t="s">
        <v>556</v>
      </c>
      <c r="G274" s="81" t="s">
        <v>557</v>
      </c>
      <c r="H274" s="12">
        <v>43504</v>
      </c>
      <c r="I274" s="12">
        <v>43708</v>
      </c>
      <c r="J274" s="46" t="s">
        <v>526</v>
      </c>
      <c r="K274" s="161" t="s">
        <v>338</v>
      </c>
      <c r="L274" s="160" t="s">
        <v>339</v>
      </c>
      <c r="M274" s="117" t="s">
        <v>558</v>
      </c>
      <c r="N274" s="102" t="s">
        <v>881</v>
      </c>
      <c r="O274" s="102" t="s">
        <v>881</v>
      </c>
      <c r="P274" s="101" t="str">
        <f>IFERROR((0/0),"No aplica")</f>
        <v>No aplica</v>
      </c>
      <c r="Q274" s="101">
        <f>IFERROR((0/5),"No aplica")</f>
        <v>0</v>
      </c>
      <c r="R274" s="102" t="s">
        <v>697</v>
      </c>
      <c r="S274" s="106" t="s">
        <v>888</v>
      </c>
      <c r="T274" s="106" t="s">
        <v>887</v>
      </c>
      <c r="U274" s="107" t="s">
        <v>886</v>
      </c>
      <c r="V274" s="117" t="s">
        <v>558</v>
      </c>
      <c r="W274" s="102" t="s">
        <v>881</v>
      </c>
      <c r="X274" s="102" t="s">
        <v>881</v>
      </c>
      <c r="Y274" s="101" t="str">
        <f>IFERROR((0/0),"No aplica")</f>
        <v>No aplica</v>
      </c>
      <c r="Z274" s="101">
        <f>IFERROR((0/5),"No aplica")</f>
        <v>0</v>
      </c>
      <c r="AA274" s="102" t="s">
        <v>697</v>
      </c>
      <c r="AB274" s="106" t="s">
        <v>885</v>
      </c>
      <c r="AC274" s="106" t="s">
        <v>884</v>
      </c>
      <c r="AD274" s="107" t="s">
        <v>883</v>
      </c>
      <c r="AE274" s="117" t="s">
        <v>558</v>
      </c>
      <c r="AF274" s="102" t="s">
        <v>882</v>
      </c>
      <c r="AG274" s="102" t="s">
        <v>881</v>
      </c>
      <c r="AH274" s="101">
        <f>IFERROR((0/5),"No aplica")</f>
        <v>0</v>
      </c>
      <c r="AI274" s="101">
        <f>IFERROR((0/5),"No aplica")</f>
        <v>0</v>
      </c>
      <c r="AJ274" s="102" t="s">
        <v>703</v>
      </c>
      <c r="AK274" s="106" t="s">
        <v>880</v>
      </c>
      <c r="AL274" s="106" t="s">
        <v>879</v>
      </c>
    </row>
    <row r="275" spans="1:38" ht="97.5" customHeight="1" x14ac:dyDescent="0.25">
      <c r="A275" s="117"/>
      <c r="B275" s="102"/>
      <c r="C275" s="102"/>
      <c r="D275" s="102"/>
      <c r="E275" s="102"/>
      <c r="F275" s="102"/>
      <c r="G275" s="81" t="s">
        <v>559</v>
      </c>
      <c r="H275" s="12">
        <v>43586</v>
      </c>
      <c r="I275" s="12">
        <v>43830</v>
      </c>
      <c r="J275" s="46" t="s">
        <v>526</v>
      </c>
      <c r="K275" s="161"/>
      <c r="L275" s="160"/>
      <c r="M275" s="117"/>
      <c r="N275" s="102"/>
      <c r="O275" s="102"/>
      <c r="P275" s="101"/>
      <c r="Q275" s="101"/>
      <c r="R275" s="102"/>
      <c r="S275" s="106"/>
      <c r="T275" s="106"/>
      <c r="U275" s="107"/>
      <c r="V275" s="117"/>
      <c r="W275" s="102"/>
      <c r="X275" s="102"/>
      <c r="Y275" s="101"/>
      <c r="Z275" s="101"/>
      <c r="AA275" s="102"/>
      <c r="AB275" s="106"/>
      <c r="AC275" s="106"/>
      <c r="AD275" s="107"/>
      <c r="AE275" s="117"/>
      <c r="AF275" s="102"/>
      <c r="AG275" s="102"/>
      <c r="AH275" s="101"/>
      <c r="AI275" s="101"/>
      <c r="AJ275" s="102"/>
      <c r="AK275" s="106"/>
      <c r="AL275" s="106"/>
    </row>
    <row r="276" spans="1:38" ht="97.5" customHeight="1" x14ac:dyDescent="0.25">
      <c r="A276" s="117"/>
      <c r="B276" s="102"/>
      <c r="C276" s="102"/>
      <c r="D276" s="102"/>
      <c r="E276" s="102"/>
      <c r="F276" s="102"/>
      <c r="G276" s="81" t="s">
        <v>560</v>
      </c>
      <c r="H276" s="12">
        <v>43556</v>
      </c>
      <c r="I276" s="12">
        <v>43677</v>
      </c>
      <c r="J276" s="46" t="s">
        <v>526</v>
      </c>
      <c r="K276" s="161"/>
      <c r="L276" s="160"/>
      <c r="M276" s="117"/>
      <c r="N276" s="102"/>
      <c r="O276" s="102"/>
      <c r="P276" s="101"/>
      <c r="Q276" s="101"/>
      <c r="R276" s="102"/>
      <c r="S276" s="106"/>
      <c r="T276" s="106"/>
      <c r="U276" s="107"/>
      <c r="V276" s="117"/>
      <c r="W276" s="102"/>
      <c r="X276" s="102"/>
      <c r="Y276" s="101"/>
      <c r="Z276" s="101"/>
      <c r="AA276" s="102"/>
      <c r="AB276" s="106"/>
      <c r="AC276" s="106"/>
      <c r="AD276" s="107"/>
      <c r="AE276" s="117"/>
      <c r="AF276" s="102"/>
      <c r="AG276" s="102"/>
      <c r="AH276" s="101"/>
      <c r="AI276" s="101"/>
      <c r="AJ276" s="102"/>
      <c r="AK276" s="106"/>
      <c r="AL276" s="106"/>
    </row>
    <row r="277" spans="1:38" ht="97.5" customHeight="1" x14ac:dyDescent="0.25">
      <c r="A277" s="117"/>
      <c r="B277" s="102"/>
      <c r="C277" s="102"/>
      <c r="D277" s="102"/>
      <c r="E277" s="102"/>
      <c r="F277" s="102"/>
      <c r="G277" s="81" t="s">
        <v>561</v>
      </c>
      <c r="H277" s="12">
        <v>43739</v>
      </c>
      <c r="I277" s="12">
        <v>43830</v>
      </c>
      <c r="J277" s="46" t="s">
        <v>526</v>
      </c>
      <c r="K277" s="161"/>
      <c r="L277" s="160"/>
      <c r="M277" s="117"/>
      <c r="N277" s="102"/>
      <c r="O277" s="102"/>
      <c r="P277" s="101"/>
      <c r="Q277" s="101"/>
      <c r="R277" s="102"/>
      <c r="S277" s="106"/>
      <c r="T277" s="106"/>
      <c r="U277" s="107"/>
      <c r="V277" s="117"/>
      <c r="W277" s="102"/>
      <c r="X277" s="102"/>
      <c r="Y277" s="101"/>
      <c r="Z277" s="101"/>
      <c r="AA277" s="102"/>
      <c r="AB277" s="106"/>
      <c r="AC277" s="106"/>
      <c r="AD277" s="107"/>
      <c r="AE277" s="117"/>
      <c r="AF277" s="102"/>
      <c r="AG277" s="102"/>
      <c r="AH277" s="101"/>
      <c r="AI277" s="101"/>
      <c r="AJ277" s="102"/>
      <c r="AK277" s="106"/>
      <c r="AL277" s="106"/>
    </row>
    <row r="278" spans="1:38" ht="54" customHeight="1" x14ac:dyDescent="0.25">
      <c r="A278" s="117" t="s">
        <v>147</v>
      </c>
      <c r="B278" s="102" t="s">
        <v>554</v>
      </c>
      <c r="C278" s="102">
        <v>56</v>
      </c>
      <c r="D278" s="102" t="s">
        <v>562</v>
      </c>
      <c r="E278" s="102">
        <v>0</v>
      </c>
      <c r="F278" s="102" t="s">
        <v>563</v>
      </c>
      <c r="G278" s="81" t="s">
        <v>564</v>
      </c>
      <c r="H278" s="12">
        <v>43473</v>
      </c>
      <c r="I278" s="12">
        <v>43830</v>
      </c>
      <c r="J278" s="46" t="s">
        <v>526</v>
      </c>
      <c r="K278" s="161" t="s">
        <v>338</v>
      </c>
      <c r="L278" s="160" t="s">
        <v>339</v>
      </c>
      <c r="M278" s="117" t="s">
        <v>565</v>
      </c>
      <c r="N278" s="102" t="s">
        <v>878</v>
      </c>
      <c r="O278" s="102" t="s">
        <v>877</v>
      </c>
      <c r="P278" s="101">
        <f>IFERROR((22/20),"No aplica")</f>
        <v>1.1000000000000001</v>
      </c>
      <c r="Q278" s="101">
        <f>IFERROR((22/40),"No aplica")</f>
        <v>0.55000000000000004</v>
      </c>
      <c r="R278" s="102" t="s">
        <v>692</v>
      </c>
      <c r="S278" s="106" t="s">
        <v>876</v>
      </c>
      <c r="T278" s="106" t="s">
        <v>875</v>
      </c>
      <c r="U278" s="107" t="s">
        <v>874</v>
      </c>
      <c r="V278" s="117" t="s">
        <v>565</v>
      </c>
      <c r="W278" s="102" t="s">
        <v>873</v>
      </c>
      <c r="X278" s="102" t="s">
        <v>872</v>
      </c>
      <c r="Y278" s="101">
        <f>IFERROR((8/5),"No aplica")</f>
        <v>1.6</v>
      </c>
      <c r="Z278" s="101">
        <f>IFERROR(((22+8)/40),"No aplica")</f>
        <v>0.75</v>
      </c>
      <c r="AA278" s="102" t="s">
        <v>692</v>
      </c>
      <c r="AB278" s="106" t="s">
        <v>871</v>
      </c>
      <c r="AC278" s="106" t="s">
        <v>870</v>
      </c>
      <c r="AD278" s="107" t="s">
        <v>869</v>
      </c>
      <c r="AE278" s="117" t="s">
        <v>565</v>
      </c>
      <c r="AF278" s="102" t="s">
        <v>868</v>
      </c>
      <c r="AG278" s="102" t="s">
        <v>867</v>
      </c>
      <c r="AH278" s="101">
        <f>IFERROR((21/10),"No aplica")</f>
        <v>2.1</v>
      </c>
      <c r="AI278" s="101">
        <f>IFERROR(((22+8+21)/40),"No aplica")</f>
        <v>1.2749999999999999</v>
      </c>
      <c r="AJ278" s="102" t="s">
        <v>803</v>
      </c>
      <c r="AK278" s="106" t="s">
        <v>866</v>
      </c>
      <c r="AL278" s="106" t="s">
        <v>865</v>
      </c>
    </row>
    <row r="279" spans="1:38" ht="54" customHeight="1" x14ac:dyDescent="0.25">
      <c r="A279" s="117"/>
      <c r="B279" s="102"/>
      <c r="C279" s="102"/>
      <c r="D279" s="102"/>
      <c r="E279" s="102"/>
      <c r="F279" s="102"/>
      <c r="G279" s="81" t="s">
        <v>566</v>
      </c>
      <c r="H279" s="12">
        <v>43475</v>
      </c>
      <c r="I279" s="12">
        <v>43830</v>
      </c>
      <c r="J279" s="46" t="s">
        <v>526</v>
      </c>
      <c r="K279" s="161"/>
      <c r="L279" s="160"/>
      <c r="M279" s="117"/>
      <c r="N279" s="102"/>
      <c r="O279" s="102"/>
      <c r="P279" s="101"/>
      <c r="Q279" s="101"/>
      <c r="R279" s="102"/>
      <c r="S279" s="106"/>
      <c r="T279" s="106"/>
      <c r="U279" s="107"/>
      <c r="V279" s="117"/>
      <c r="W279" s="102"/>
      <c r="X279" s="102"/>
      <c r="Y279" s="101"/>
      <c r="Z279" s="101"/>
      <c r="AA279" s="102"/>
      <c r="AB279" s="106"/>
      <c r="AC279" s="106"/>
      <c r="AD279" s="107"/>
      <c r="AE279" s="117"/>
      <c r="AF279" s="102"/>
      <c r="AG279" s="102"/>
      <c r="AH279" s="101"/>
      <c r="AI279" s="101"/>
      <c r="AJ279" s="102"/>
      <c r="AK279" s="106"/>
      <c r="AL279" s="106"/>
    </row>
    <row r="280" spans="1:38" ht="54" customHeight="1" x14ac:dyDescent="0.25">
      <c r="A280" s="117"/>
      <c r="B280" s="102"/>
      <c r="C280" s="102"/>
      <c r="D280" s="102"/>
      <c r="E280" s="102"/>
      <c r="F280" s="102"/>
      <c r="G280" s="81" t="s">
        <v>567</v>
      </c>
      <c r="H280" s="12">
        <v>43475</v>
      </c>
      <c r="I280" s="12">
        <v>43830</v>
      </c>
      <c r="J280" s="46" t="s">
        <v>526</v>
      </c>
      <c r="K280" s="161"/>
      <c r="L280" s="160"/>
      <c r="M280" s="117"/>
      <c r="N280" s="102"/>
      <c r="O280" s="102"/>
      <c r="P280" s="101"/>
      <c r="Q280" s="101"/>
      <c r="R280" s="102"/>
      <c r="S280" s="106"/>
      <c r="T280" s="106"/>
      <c r="U280" s="107"/>
      <c r="V280" s="117"/>
      <c r="W280" s="102"/>
      <c r="X280" s="102"/>
      <c r="Y280" s="101"/>
      <c r="Z280" s="101"/>
      <c r="AA280" s="102"/>
      <c r="AB280" s="106"/>
      <c r="AC280" s="106"/>
      <c r="AD280" s="107"/>
      <c r="AE280" s="117"/>
      <c r="AF280" s="102"/>
      <c r="AG280" s="102"/>
      <c r="AH280" s="101"/>
      <c r="AI280" s="101"/>
      <c r="AJ280" s="102"/>
      <c r="AK280" s="106"/>
      <c r="AL280" s="106"/>
    </row>
    <row r="281" spans="1:38" x14ac:dyDescent="0.25">
      <c r="A281" s="38" t="s">
        <v>51</v>
      </c>
      <c r="B281" s="39" t="s">
        <v>51</v>
      </c>
      <c r="C281" s="39"/>
      <c r="D281" s="39" t="s">
        <v>51</v>
      </c>
      <c r="E281" s="39" t="s">
        <v>51</v>
      </c>
      <c r="F281" s="39" t="s">
        <v>51</v>
      </c>
      <c r="G281" s="44" t="s">
        <v>51</v>
      </c>
      <c r="H281" s="39" t="s">
        <v>51</v>
      </c>
      <c r="I281" s="39" t="s">
        <v>51</v>
      </c>
      <c r="J281" s="43" t="s">
        <v>51</v>
      </c>
      <c r="K281" s="42" t="s">
        <v>51</v>
      </c>
      <c r="L281" s="39" t="s">
        <v>51</v>
      </c>
      <c r="M281" s="38" t="s">
        <v>51</v>
      </c>
      <c r="N281" s="39"/>
      <c r="O281" s="39"/>
      <c r="P281" s="41"/>
      <c r="Q281" s="41"/>
      <c r="R281" s="39"/>
      <c r="S281" s="37"/>
      <c r="T281" s="37"/>
      <c r="U281" s="40"/>
      <c r="V281" s="38" t="s">
        <v>51</v>
      </c>
      <c r="W281" s="39"/>
      <c r="X281" s="39"/>
      <c r="Y281" s="39"/>
      <c r="Z281" s="39"/>
      <c r="AA281" s="38" t="s">
        <v>51</v>
      </c>
      <c r="AB281" s="37"/>
      <c r="AC281" s="37"/>
      <c r="AD281" s="40"/>
      <c r="AE281" s="38" t="s">
        <v>51</v>
      </c>
      <c r="AF281" s="39"/>
      <c r="AG281" s="39"/>
      <c r="AH281" s="39"/>
      <c r="AI281" s="39"/>
      <c r="AJ281" s="38" t="s">
        <v>51</v>
      </c>
      <c r="AK281" s="37"/>
      <c r="AL281" s="37"/>
    </row>
    <row r="282" spans="1:38" ht="72" customHeight="1" x14ac:dyDescent="0.25">
      <c r="A282" s="129" t="s">
        <v>39</v>
      </c>
      <c r="B282" s="130" t="s">
        <v>568</v>
      </c>
      <c r="C282" s="130">
        <v>57</v>
      </c>
      <c r="D282" s="130" t="s">
        <v>569</v>
      </c>
      <c r="E282" s="130" t="s">
        <v>570</v>
      </c>
      <c r="F282" s="130" t="s">
        <v>571</v>
      </c>
      <c r="G282" s="14" t="s">
        <v>572</v>
      </c>
      <c r="H282" s="15">
        <v>43466</v>
      </c>
      <c r="I282" s="15">
        <v>43830</v>
      </c>
      <c r="J282" s="36" t="s">
        <v>573</v>
      </c>
      <c r="K282" s="97" t="s">
        <v>574</v>
      </c>
      <c r="L282" s="95" t="s">
        <v>575</v>
      </c>
      <c r="M282" s="94" t="s">
        <v>576</v>
      </c>
      <c r="N282" s="95" t="s">
        <v>864</v>
      </c>
      <c r="O282" s="95" t="s">
        <v>856</v>
      </c>
      <c r="P282" s="98">
        <f>IFERROR((0/5),"No aplica")</f>
        <v>0</v>
      </c>
      <c r="Q282" s="98">
        <f>IFERROR((0/22),"No aplica")</f>
        <v>0</v>
      </c>
      <c r="R282" s="95" t="s">
        <v>703</v>
      </c>
      <c r="S282" s="99" t="s">
        <v>863</v>
      </c>
      <c r="T282" s="99" t="s">
        <v>862</v>
      </c>
      <c r="U282" s="100" t="s">
        <v>861</v>
      </c>
      <c r="V282" s="94" t="s">
        <v>576</v>
      </c>
      <c r="W282" s="102" t="s">
        <v>860</v>
      </c>
      <c r="X282" s="95" t="s">
        <v>860</v>
      </c>
      <c r="Y282" s="108">
        <f>IFERROR((17/17),"No aplica")</f>
        <v>1</v>
      </c>
      <c r="Z282" s="108">
        <f>IFERROR(((0+17)/22),"No aplica")</f>
        <v>0.77272727272727271</v>
      </c>
      <c r="AA282" s="95" t="s">
        <v>713</v>
      </c>
      <c r="AB282" s="99" t="s">
        <v>859</v>
      </c>
      <c r="AC282" s="99" t="s">
        <v>858</v>
      </c>
      <c r="AD282" s="100" t="s">
        <v>857</v>
      </c>
      <c r="AE282" s="94" t="s">
        <v>576</v>
      </c>
      <c r="AF282" s="102" t="s">
        <v>856</v>
      </c>
      <c r="AG282" s="95" t="s">
        <v>856</v>
      </c>
      <c r="AH282" s="108" t="str">
        <f>IFERROR((0/0),"No aplica")</f>
        <v>No aplica</v>
      </c>
      <c r="AI282" s="108">
        <f>IFERROR(((0+17+0)/22),"No aplica")</f>
        <v>0.77272727272727271</v>
      </c>
      <c r="AJ282" s="95" t="s">
        <v>713</v>
      </c>
      <c r="AK282" s="99" t="s">
        <v>855</v>
      </c>
      <c r="AL282" s="99" t="s">
        <v>854</v>
      </c>
    </row>
    <row r="283" spans="1:38" ht="72" customHeight="1" x14ac:dyDescent="0.25">
      <c r="A283" s="129"/>
      <c r="B283" s="130"/>
      <c r="C283" s="130"/>
      <c r="D283" s="130"/>
      <c r="E283" s="130"/>
      <c r="F283" s="130"/>
      <c r="G283" s="14" t="s">
        <v>577</v>
      </c>
      <c r="H283" s="15">
        <v>43525</v>
      </c>
      <c r="I283" s="15">
        <v>43830</v>
      </c>
      <c r="J283" s="36" t="s">
        <v>573</v>
      </c>
      <c r="K283" s="97"/>
      <c r="L283" s="95"/>
      <c r="M283" s="94"/>
      <c r="N283" s="95"/>
      <c r="O283" s="95"/>
      <c r="P283" s="98"/>
      <c r="Q283" s="98"/>
      <c r="R283" s="95"/>
      <c r="S283" s="99"/>
      <c r="T283" s="99"/>
      <c r="U283" s="100"/>
      <c r="V283" s="94"/>
      <c r="W283" s="102"/>
      <c r="X283" s="95"/>
      <c r="Y283" s="108"/>
      <c r="Z283" s="108"/>
      <c r="AA283" s="95"/>
      <c r="AB283" s="99"/>
      <c r="AC283" s="99"/>
      <c r="AD283" s="100"/>
      <c r="AE283" s="94"/>
      <c r="AF283" s="102"/>
      <c r="AG283" s="95"/>
      <c r="AH283" s="108"/>
      <c r="AI283" s="108"/>
      <c r="AJ283" s="95"/>
      <c r="AK283" s="99"/>
      <c r="AL283" s="99"/>
    </row>
    <row r="284" spans="1:38" ht="72" customHeight="1" x14ac:dyDescent="0.25">
      <c r="A284" s="129"/>
      <c r="B284" s="130"/>
      <c r="C284" s="130"/>
      <c r="D284" s="130"/>
      <c r="E284" s="130"/>
      <c r="F284" s="130"/>
      <c r="G284" s="14" t="s">
        <v>578</v>
      </c>
      <c r="H284" s="15">
        <v>43556</v>
      </c>
      <c r="I284" s="15">
        <v>43830</v>
      </c>
      <c r="J284" s="36" t="s">
        <v>573</v>
      </c>
      <c r="K284" s="97"/>
      <c r="L284" s="95"/>
      <c r="M284" s="94"/>
      <c r="N284" s="95"/>
      <c r="O284" s="95"/>
      <c r="P284" s="98"/>
      <c r="Q284" s="98"/>
      <c r="R284" s="95"/>
      <c r="S284" s="99"/>
      <c r="T284" s="99"/>
      <c r="U284" s="100"/>
      <c r="V284" s="94"/>
      <c r="W284" s="102"/>
      <c r="X284" s="95"/>
      <c r="Y284" s="108"/>
      <c r="Z284" s="108"/>
      <c r="AA284" s="95"/>
      <c r="AB284" s="99"/>
      <c r="AC284" s="99"/>
      <c r="AD284" s="100"/>
      <c r="AE284" s="94"/>
      <c r="AF284" s="102"/>
      <c r="AG284" s="95"/>
      <c r="AH284" s="108"/>
      <c r="AI284" s="108"/>
      <c r="AJ284" s="95"/>
      <c r="AK284" s="99"/>
      <c r="AL284" s="99"/>
    </row>
    <row r="285" spans="1:38" ht="35.25" customHeight="1" x14ac:dyDescent="0.25">
      <c r="A285" s="94" t="s">
        <v>39</v>
      </c>
      <c r="B285" s="102" t="s">
        <v>568</v>
      </c>
      <c r="C285" s="95">
        <v>58</v>
      </c>
      <c r="D285" s="95" t="s">
        <v>579</v>
      </c>
      <c r="E285" s="95">
        <v>0</v>
      </c>
      <c r="F285" s="95" t="s">
        <v>580</v>
      </c>
      <c r="G285" s="10" t="s">
        <v>581</v>
      </c>
      <c r="H285" s="11">
        <v>43466</v>
      </c>
      <c r="I285" s="11" t="s">
        <v>582</v>
      </c>
      <c r="J285" s="35" t="s">
        <v>573</v>
      </c>
      <c r="K285" s="97" t="s">
        <v>583</v>
      </c>
      <c r="L285" s="95" t="s">
        <v>584</v>
      </c>
      <c r="M285" s="94" t="s">
        <v>585</v>
      </c>
      <c r="N285" s="95" t="s">
        <v>845</v>
      </c>
      <c r="O285" s="95" t="s">
        <v>845</v>
      </c>
      <c r="P285" s="98" t="str">
        <f>IFERROR((0/0),"No aplica")</f>
        <v>No aplica</v>
      </c>
      <c r="Q285" s="98">
        <f>IFERROR((0/6),"No aplica")</f>
        <v>0</v>
      </c>
      <c r="R285" s="95" t="s">
        <v>697</v>
      </c>
      <c r="S285" s="99" t="s">
        <v>853</v>
      </c>
      <c r="T285" s="99" t="s">
        <v>852</v>
      </c>
      <c r="U285" s="100" t="s">
        <v>851</v>
      </c>
      <c r="V285" s="94" t="s">
        <v>585</v>
      </c>
      <c r="W285" s="102" t="s">
        <v>850</v>
      </c>
      <c r="X285" s="95" t="s">
        <v>850</v>
      </c>
      <c r="Y285" s="101">
        <f>IFERROR((1/1),"No aplica")</f>
        <v>1</v>
      </c>
      <c r="Z285" s="101">
        <f>IFERROR((1/4),"No aplica")</f>
        <v>0.25</v>
      </c>
      <c r="AA285" s="95" t="s">
        <v>692</v>
      </c>
      <c r="AB285" s="99" t="s">
        <v>849</v>
      </c>
      <c r="AC285" s="99" t="s">
        <v>848</v>
      </c>
      <c r="AD285" s="100" t="s">
        <v>847</v>
      </c>
      <c r="AE285" s="94" t="s">
        <v>585</v>
      </c>
      <c r="AF285" s="102" t="s">
        <v>846</v>
      </c>
      <c r="AG285" s="95" t="s">
        <v>845</v>
      </c>
      <c r="AH285" s="101">
        <f>IFERROR((0/2),"No aplica")</f>
        <v>0</v>
      </c>
      <c r="AI285" s="101">
        <f>IFERROR(((0+1+0)/4),"No aplica")</f>
        <v>0.25</v>
      </c>
      <c r="AJ285" s="95" t="s">
        <v>703</v>
      </c>
      <c r="AK285" s="99" t="s">
        <v>844</v>
      </c>
      <c r="AL285" s="99" t="s">
        <v>843</v>
      </c>
    </row>
    <row r="286" spans="1:38" ht="35.25" customHeight="1" x14ac:dyDescent="0.25">
      <c r="A286" s="94"/>
      <c r="B286" s="102"/>
      <c r="C286" s="95"/>
      <c r="D286" s="95"/>
      <c r="E286" s="95"/>
      <c r="F286" s="95"/>
      <c r="G286" s="10" t="s">
        <v>586</v>
      </c>
      <c r="H286" s="11">
        <v>43497</v>
      </c>
      <c r="I286" s="11">
        <v>43646</v>
      </c>
      <c r="J286" s="35" t="s">
        <v>573</v>
      </c>
      <c r="K286" s="97"/>
      <c r="L286" s="95"/>
      <c r="M286" s="94"/>
      <c r="N286" s="95"/>
      <c r="O286" s="95"/>
      <c r="P286" s="98"/>
      <c r="Q286" s="98"/>
      <c r="R286" s="95"/>
      <c r="S286" s="99"/>
      <c r="T286" s="99"/>
      <c r="U286" s="100"/>
      <c r="V286" s="94"/>
      <c r="W286" s="102"/>
      <c r="X286" s="95"/>
      <c r="Y286" s="101"/>
      <c r="Z286" s="101"/>
      <c r="AA286" s="95"/>
      <c r="AB286" s="99"/>
      <c r="AC286" s="99"/>
      <c r="AD286" s="100"/>
      <c r="AE286" s="94"/>
      <c r="AF286" s="102"/>
      <c r="AG286" s="95"/>
      <c r="AH286" s="101"/>
      <c r="AI286" s="101"/>
      <c r="AJ286" s="95"/>
      <c r="AK286" s="99"/>
      <c r="AL286" s="99"/>
    </row>
    <row r="287" spans="1:38" ht="35.25" customHeight="1" x14ac:dyDescent="0.25">
      <c r="A287" s="94"/>
      <c r="B287" s="102"/>
      <c r="C287" s="95"/>
      <c r="D287" s="95"/>
      <c r="E287" s="95"/>
      <c r="F287" s="95"/>
      <c r="G287" s="10" t="s">
        <v>587</v>
      </c>
      <c r="H287" s="11">
        <v>43525</v>
      </c>
      <c r="I287" s="11">
        <v>43829</v>
      </c>
      <c r="J287" s="35" t="s">
        <v>573</v>
      </c>
      <c r="K287" s="97"/>
      <c r="L287" s="95"/>
      <c r="M287" s="94"/>
      <c r="N287" s="95"/>
      <c r="O287" s="95"/>
      <c r="P287" s="98"/>
      <c r="Q287" s="98"/>
      <c r="R287" s="95"/>
      <c r="S287" s="99"/>
      <c r="T287" s="99"/>
      <c r="U287" s="100"/>
      <c r="V287" s="94"/>
      <c r="W287" s="102"/>
      <c r="X287" s="95"/>
      <c r="Y287" s="101"/>
      <c r="Z287" s="101"/>
      <c r="AA287" s="95"/>
      <c r="AB287" s="99"/>
      <c r="AC287" s="99"/>
      <c r="AD287" s="100"/>
      <c r="AE287" s="94"/>
      <c r="AF287" s="102"/>
      <c r="AG287" s="95"/>
      <c r="AH287" s="101"/>
      <c r="AI287" s="101"/>
      <c r="AJ287" s="95"/>
      <c r="AK287" s="99"/>
      <c r="AL287" s="99"/>
    </row>
    <row r="288" spans="1:38" ht="58.5" customHeight="1" x14ac:dyDescent="0.25">
      <c r="A288" s="94" t="s">
        <v>39</v>
      </c>
      <c r="B288" s="95" t="s">
        <v>588</v>
      </c>
      <c r="C288" s="95">
        <v>59</v>
      </c>
      <c r="D288" s="95" t="s">
        <v>589</v>
      </c>
      <c r="E288" s="95" t="s">
        <v>590</v>
      </c>
      <c r="F288" s="95" t="s">
        <v>591</v>
      </c>
      <c r="G288" s="10" t="s">
        <v>592</v>
      </c>
      <c r="H288" s="11">
        <v>43466</v>
      </c>
      <c r="I288" s="11">
        <v>43830</v>
      </c>
      <c r="J288" s="35" t="s">
        <v>573</v>
      </c>
      <c r="K288" s="97" t="s">
        <v>593</v>
      </c>
      <c r="L288" s="95" t="s">
        <v>594</v>
      </c>
      <c r="M288" s="94" t="s">
        <v>595</v>
      </c>
      <c r="N288" s="95" t="s">
        <v>836</v>
      </c>
      <c r="O288" s="95" t="s">
        <v>836</v>
      </c>
      <c r="P288" s="98">
        <f>IFERROR((100%/100%),"No aplica")</f>
        <v>1</v>
      </c>
      <c r="Q288" s="127" t="s">
        <v>750</v>
      </c>
      <c r="R288" s="95" t="s">
        <v>692</v>
      </c>
      <c r="S288" s="99" t="s">
        <v>842</v>
      </c>
      <c r="T288" s="99" t="s">
        <v>841</v>
      </c>
      <c r="U288" s="100" t="s">
        <v>840</v>
      </c>
      <c r="V288" s="94" t="s">
        <v>595</v>
      </c>
      <c r="W288" s="102" t="s">
        <v>836</v>
      </c>
      <c r="X288" s="95" t="s">
        <v>836</v>
      </c>
      <c r="Y288" s="101">
        <f>IFERROR((51/51),"No aplica")</f>
        <v>1</v>
      </c>
      <c r="Z288" s="127" t="s">
        <v>750</v>
      </c>
      <c r="AA288" s="95" t="s">
        <v>692</v>
      </c>
      <c r="AB288" s="99" t="s">
        <v>839</v>
      </c>
      <c r="AC288" s="99" t="s">
        <v>838</v>
      </c>
      <c r="AD288" s="100" t="s">
        <v>837</v>
      </c>
      <c r="AE288" s="94" t="s">
        <v>595</v>
      </c>
      <c r="AF288" s="102" t="s">
        <v>836</v>
      </c>
      <c r="AG288" s="102" t="s">
        <v>836</v>
      </c>
      <c r="AH288" s="101">
        <f>IFERROR((100/100),"No aplica")</f>
        <v>1</v>
      </c>
      <c r="AI288" s="127" t="s">
        <v>750</v>
      </c>
      <c r="AJ288" s="95" t="s">
        <v>692</v>
      </c>
      <c r="AK288" s="99" t="s">
        <v>835</v>
      </c>
      <c r="AL288" s="99" t="s">
        <v>834</v>
      </c>
    </row>
    <row r="289" spans="1:38" ht="58.5" customHeight="1" x14ac:dyDescent="0.25">
      <c r="A289" s="94"/>
      <c r="B289" s="95"/>
      <c r="C289" s="95"/>
      <c r="D289" s="95"/>
      <c r="E289" s="95"/>
      <c r="F289" s="95"/>
      <c r="G289" s="10" t="s">
        <v>596</v>
      </c>
      <c r="H289" s="11">
        <v>43466</v>
      </c>
      <c r="I289" s="11">
        <v>43830</v>
      </c>
      <c r="J289" s="35" t="s">
        <v>573</v>
      </c>
      <c r="K289" s="97"/>
      <c r="L289" s="95"/>
      <c r="M289" s="94"/>
      <c r="N289" s="95"/>
      <c r="O289" s="95"/>
      <c r="P289" s="98"/>
      <c r="Q289" s="127"/>
      <c r="R289" s="95"/>
      <c r="S289" s="99"/>
      <c r="T289" s="99"/>
      <c r="U289" s="100"/>
      <c r="V289" s="94"/>
      <c r="W289" s="102"/>
      <c r="X289" s="95"/>
      <c r="Y289" s="101"/>
      <c r="Z289" s="127"/>
      <c r="AA289" s="95"/>
      <c r="AB289" s="99"/>
      <c r="AC289" s="99"/>
      <c r="AD289" s="100"/>
      <c r="AE289" s="94"/>
      <c r="AF289" s="102"/>
      <c r="AG289" s="95"/>
      <c r="AH289" s="101"/>
      <c r="AI289" s="127"/>
      <c r="AJ289" s="95"/>
      <c r="AK289" s="99"/>
      <c r="AL289" s="99"/>
    </row>
    <row r="290" spans="1:38" ht="58.5" customHeight="1" x14ac:dyDescent="0.25">
      <c r="A290" s="94"/>
      <c r="B290" s="95"/>
      <c r="C290" s="95"/>
      <c r="D290" s="95"/>
      <c r="E290" s="95"/>
      <c r="F290" s="95"/>
      <c r="G290" s="10" t="s">
        <v>597</v>
      </c>
      <c r="H290" s="11">
        <v>43466</v>
      </c>
      <c r="I290" s="11">
        <v>43830</v>
      </c>
      <c r="J290" s="35" t="s">
        <v>573</v>
      </c>
      <c r="K290" s="97"/>
      <c r="L290" s="95"/>
      <c r="M290" s="94"/>
      <c r="N290" s="95"/>
      <c r="O290" s="95"/>
      <c r="P290" s="98"/>
      <c r="Q290" s="127"/>
      <c r="R290" s="95"/>
      <c r="S290" s="99"/>
      <c r="T290" s="99"/>
      <c r="U290" s="100"/>
      <c r="V290" s="94"/>
      <c r="W290" s="102"/>
      <c r="X290" s="95"/>
      <c r="Y290" s="101"/>
      <c r="Z290" s="127"/>
      <c r="AA290" s="95"/>
      <c r="AB290" s="99"/>
      <c r="AC290" s="99"/>
      <c r="AD290" s="100"/>
      <c r="AE290" s="94"/>
      <c r="AF290" s="102"/>
      <c r="AG290" s="95"/>
      <c r="AH290" s="101"/>
      <c r="AI290" s="127"/>
      <c r="AJ290" s="95"/>
      <c r="AK290" s="99"/>
      <c r="AL290" s="99"/>
    </row>
    <row r="291" spans="1:38" ht="30.75" customHeight="1" x14ac:dyDescent="0.25">
      <c r="A291" s="94" t="s">
        <v>39</v>
      </c>
      <c r="B291" s="95" t="s">
        <v>598</v>
      </c>
      <c r="C291" s="95">
        <v>60</v>
      </c>
      <c r="D291" s="95" t="s">
        <v>599</v>
      </c>
      <c r="E291" s="95" t="s">
        <v>600</v>
      </c>
      <c r="F291" s="95" t="s">
        <v>601</v>
      </c>
      <c r="G291" s="10" t="s">
        <v>602</v>
      </c>
      <c r="H291" s="11">
        <v>43466</v>
      </c>
      <c r="I291" s="11">
        <v>43496</v>
      </c>
      <c r="J291" s="35" t="s">
        <v>573</v>
      </c>
      <c r="K291" s="97" t="s">
        <v>603</v>
      </c>
      <c r="L291" s="95" t="s">
        <v>604</v>
      </c>
      <c r="M291" s="94" t="s">
        <v>605</v>
      </c>
      <c r="N291" s="95" t="s">
        <v>833</v>
      </c>
      <c r="O291" s="95" t="s">
        <v>832</v>
      </c>
      <c r="P291" s="126">
        <f>IFERROR((4.9%/22.5%),"No aplica")</f>
        <v>0.21777777777777779</v>
      </c>
      <c r="Q291" s="126">
        <f>IFERROR((4.9%/90%),"No aplica")</f>
        <v>5.4444444444444448E-2</v>
      </c>
      <c r="R291" s="95" t="s">
        <v>703</v>
      </c>
      <c r="S291" s="99" t="s">
        <v>831</v>
      </c>
      <c r="T291" s="99" t="s">
        <v>830</v>
      </c>
      <c r="U291" s="100" t="s">
        <v>829</v>
      </c>
      <c r="V291" s="94" t="s">
        <v>605</v>
      </c>
      <c r="W291" s="102" t="s">
        <v>828</v>
      </c>
      <c r="X291" s="95" t="s">
        <v>827</v>
      </c>
      <c r="Y291" s="128">
        <f>IFERROR((12.2%/45%),"No aplica")</f>
        <v>0.27111111111111108</v>
      </c>
      <c r="Z291" s="128">
        <f>IFERROR((12.2%/90%),"No aplica")</f>
        <v>0.13555555555555554</v>
      </c>
      <c r="AA291" s="95" t="s">
        <v>703</v>
      </c>
      <c r="AB291" s="99" t="s">
        <v>826</v>
      </c>
      <c r="AC291" s="99" t="s">
        <v>825</v>
      </c>
      <c r="AD291" s="100" t="s">
        <v>824</v>
      </c>
      <c r="AE291" s="94" t="s">
        <v>605</v>
      </c>
      <c r="AF291" s="102" t="s">
        <v>823</v>
      </c>
      <c r="AG291" s="102" t="s">
        <v>822</v>
      </c>
      <c r="AH291" s="128">
        <f>IFERROR((23.6%/67.5%),"No aplica")</f>
        <v>0.34962962962962962</v>
      </c>
      <c r="AI291" s="128">
        <f>IFERROR((23.6%/90%),"No aplica")</f>
        <v>0.26222222222222225</v>
      </c>
      <c r="AJ291" s="95" t="s">
        <v>703</v>
      </c>
      <c r="AK291" s="99" t="s">
        <v>821</v>
      </c>
      <c r="AL291" s="99" t="s">
        <v>820</v>
      </c>
    </row>
    <row r="292" spans="1:38" ht="30.75" customHeight="1" x14ac:dyDescent="0.25">
      <c r="A292" s="94"/>
      <c r="B292" s="95"/>
      <c r="C292" s="95"/>
      <c r="D292" s="95"/>
      <c r="E292" s="95"/>
      <c r="F292" s="95"/>
      <c r="G292" s="10" t="s">
        <v>606</v>
      </c>
      <c r="H292" s="11">
        <v>43497</v>
      </c>
      <c r="I292" s="11">
        <v>43511</v>
      </c>
      <c r="J292" s="35" t="s">
        <v>573</v>
      </c>
      <c r="K292" s="97"/>
      <c r="L292" s="95"/>
      <c r="M292" s="94"/>
      <c r="N292" s="95"/>
      <c r="O292" s="95"/>
      <c r="P292" s="126"/>
      <c r="Q292" s="126"/>
      <c r="R292" s="95"/>
      <c r="S292" s="99"/>
      <c r="T292" s="99"/>
      <c r="U292" s="100"/>
      <c r="V292" s="94"/>
      <c r="W292" s="102"/>
      <c r="X292" s="95"/>
      <c r="Y292" s="128"/>
      <c r="Z292" s="128"/>
      <c r="AA292" s="95"/>
      <c r="AB292" s="99"/>
      <c r="AC292" s="99"/>
      <c r="AD292" s="100"/>
      <c r="AE292" s="94"/>
      <c r="AF292" s="102"/>
      <c r="AG292" s="95"/>
      <c r="AH292" s="128"/>
      <c r="AI292" s="128"/>
      <c r="AJ292" s="95"/>
      <c r="AK292" s="99"/>
      <c r="AL292" s="99"/>
    </row>
    <row r="293" spans="1:38" s="23" customFormat="1" ht="30.75" customHeight="1" x14ac:dyDescent="0.25">
      <c r="A293" s="94"/>
      <c r="B293" s="95"/>
      <c r="C293" s="95"/>
      <c r="D293" s="95"/>
      <c r="E293" s="95"/>
      <c r="F293" s="95"/>
      <c r="G293" s="10" t="s">
        <v>607</v>
      </c>
      <c r="H293" s="11">
        <v>43511</v>
      </c>
      <c r="I293" s="11">
        <v>43830</v>
      </c>
      <c r="J293" s="35" t="s">
        <v>573</v>
      </c>
      <c r="K293" s="97"/>
      <c r="L293" s="95"/>
      <c r="M293" s="94"/>
      <c r="N293" s="95"/>
      <c r="O293" s="95"/>
      <c r="P293" s="126"/>
      <c r="Q293" s="126"/>
      <c r="R293" s="95"/>
      <c r="S293" s="99"/>
      <c r="T293" s="99"/>
      <c r="U293" s="100"/>
      <c r="V293" s="94"/>
      <c r="W293" s="102"/>
      <c r="X293" s="95"/>
      <c r="Y293" s="128"/>
      <c r="Z293" s="128"/>
      <c r="AA293" s="95"/>
      <c r="AB293" s="99"/>
      <c r="AC293" s="99"/>
      <c r="AD293" s="100"/>
      <c r="AE293" s="94"/>
      <c r="AF293" s="102"/>
      <c r="AG293" s="95"/>
      <c r="AH293" s="128"/>
      <c r="AI293" s="128"/>
      <c r="AJ293" s="95"/>
      <c r="AK293" s="99"/>
      <c r="AL293" s="99"/>
    </row>
    <row r="294" spans="1:38" x14ac:dyDescent="0.25">
      <c r="A294" s="38" t="s">
        <v>51</v>
      </c>
      <c r="B294" s="39" t="s">
        <v>51</v>
      </c>
      <c r="C294" s="39"/>
      <c r="D294" s="39" t="s">
        <v>51</v>
      </c>
      <c r="E294" s="39" t="s">
        <v>51</v>
      </c>
      <c r="F294" s="39" t="s">
        <v>51</v>
      </c>
      <c r="G294" s="44" t="s">
        <v>51</v>
      </c>
      <c r="H294" s="39" t="s">
        <v>51</v>
      </c>
      <c r="I294" s="39" t="s">
        <v>51</v>
      </c>
      <c r="J294" s="43" t="s">
        <v>51</v>
      </c>
      <c r="K294" s="42" t="s">
        <v>51</v>
      </c>
      <c r="L294" s="39" t="s">
        <v>51</v>
      </c>
      <c r="M294" s="38" t="s">
        <v>51</v>
      </c>
      <c r="N294" s="39"/>
      <c r="O294" s="39"/>
      <c r="P294" s="41"/>
      <c r="Q294" s="41"/>
      <c r="R294" s="39"/>
      <c r="S294" s="37"/>
      <c r="T294" s="37"/>
      <c r="U294" s="40"/>
      <c r="V294" s="38" t="s">
        <v>51</v>
      </c>
      <c r="W294" s="39"/>
      <c r="X294" s="39"/>
      <c r="Y294" s="39"/>
      <c r="Z294" s="39"/>
      <c r="AA294" s="38" t="s">
        <v>51</v>
      </c>
      <c r="AB294" s="37"/>
      <c r="AC294" s="37"/>
      <c r="AD294" s="40"/>
      <c r="AE294" s="38" t="s">
        <v>51</v>
      </c>
      <c r="AF294" s="39"/>
      <c r="AG294" s="39"/>
      <c r="AH294" s="39"/>
      <c r="AI294" s="39"/>
      <c r="AJ294" s="38" t="s">
        <v>51</v>
      </c>
      <c r="AK294" s="37"/>
      <c r="AL294" s="37"/>
    </row>
    <row r="295" spans="1:38" ht="38.25" customHeight="1" x14ac:dyDescent="0.25">
      <c r="A295" s="117" t="s">
        <v>39</v>
      </c>
      <c r="B295" s="102" t="s">
        <v>608</v>
      </c>
      <c r="C295" s="102">
        <v>61</v>
      </c>
      <c r="D295" s="102" t="s">
        <v>609</v>
      </c>
      <c r="E295" s="102">
        <v>0</v>
      </c>
      <c r="F295" s="102" t="s">
        <v>610</v>
      </c>
      <c r="G295" s="81" t="s">
        <v>611</v>
      </c>
      <c r="H295" s="12">
        <v>43467</v>
      </c>
      <c r="I295" s="12">
        <v>43524</v>
      </c>
      <c r="J295" s="46" t="s">
        <v>612</v>
      </c>
      <c r="K295" s="119" t="s">
        <v>603</v>
      </c>
      <c r="L295" s="102" t="s">
        <v>604</v>
      </c>
      <c r="M295" s="117" t="s">
        <v>613</v>
      </c>
      <c r="N295" s="102" t="s">
        <v>811</v>
      </c>
      <c r="O295" s="102" t="s">
        <v>819</v>
      </c>
      <c r="P295" s="108">
        <f>100%-(162890311/4194717349)</f>
        <v>0.96116775042331937</v>
      </c>
      <c r="Q295" s="127" t="s">
        <v>750</v>
      </c>
      <c r="R295" s="102" t="s">
        <v>692</v>
      </c>
      <c r="S295" s="106" t="s">
        <v>818</v>
      </c>
      <c r="T295" s="106" t="s">
        <v>817</v>
      </c>
      <c r="U295" s="107" t="s">
        <v>816</v>
      </c>
      <c r="V295" s="117" t="s">
        <v>613</v>
      </c>
      <c r="W295" s="102" t="s">
        <v>811</v>
      </c>
      <c r="X295" s="102" t="s">
        <v>815</v>
      </c>
      <c r="Y295" s="108">
        <f>100%-(635529588/6343349978)</f>
        <v>0.89981167833965603</v>
      </c>
      <c r="Z295" s="127" t="s">
        <v>750</v>
      </c>
      <c r="AA295" s="102" t="s">
        <v>703</v>
      </c>
      <c r="AB295" s="106" t="s">
        <v>814</v>
      </c>
      <c r="AC295" s="106" t="s">
        <v>813</v>
      </c>
      <c r="AD295" s="107" t="s">
        <v>812</v>
      </c>
      <c r="AE295" s="117" t="s">
        <v>613</v>
      </c>
      <c r="AF295" s="102" t="s">
        <v>811</v>
      </c>
      <c r="AG295" s="102" t="s">
        <v>810</v>
      </c>
      <c r="AH295" s="108">
        <f>100%-(209430704/9479302620)</f>
        <v>0.97790652831800828</v>
      </c>
      <c r="AI295" s="127" t="s">
        <v>750</v>
      </c>
      <c r="AJ295" s="102" t="s">
        <v>692</v>
      </c>
      <c r="AK295" s="106" t="s">
        <v>809</v>
      </c>
      <c r="AL295" s="106" t="s">
        <v>808</v>
      </c>
    </row>
    <row r="296" spans="1:38" ht="38.25" customHeight="1" x14ac:dyDescent="0.25">
      <c r="A296" s="117"/>
      <c r="B296" s="102"/>
      <c r="C296" s="102"/>
      <c r="D296" s="102"/>
      <c r="E296" s="102"/>
      <c r="F296" s="102"/>
      <c r="G296" s="81" t="s">
        <v>614</v>
      </c>
      <c r="H296" s="12">
        <v>43525</v>
      </c>
      <c r="I296" s="12">
        <v>43769</v>
      </c>
      <c r="J296" s="46" t="s">
        <v>612</v>
      </c>
      <c r="K296" s="119"/>
      <c r="L296" s="102"/>
      <c r="M296" s="117"/>
      <c r="N296" s="102"/>
      <c r="O296" s="102"/>
      <c r="P296" s="108"/>
      <c r="Q296" s="127"/>
      <c r="R296" s="102"/>
      <c r="S296" s="106"/>
      <c r="T296" s="106"/>
      <c r="U296" s="107"/>
      <c r="V296" s="117"/>
      <c r="W296" s="102"/>
      <c r="X296" s="102"/>
      <c r="Y296" s="108"/>
      <c r="Z296" s="127"/>
      <c r="AA296" s="102"/>
      <c r="AB296" s="106"/>
      <c r="AC296" s="106"/>
      <c r="AD296" s="107"/>
      <c r="AE296" s="117"/>
      <c r="AF296" s="102"/>
      <c r="AG296" s="102"/>
      <c r="AH296" s="108"/>
      <c r="AI296" s="127"/>
      <c r="AJ296" s="102"/>
      <c r="AK296" s="106"/>
      <c r="AL296" s="106"/>
    </row>
    <row r="297" spans="1:38" ht="38.25" customHeight="1" x14ac:dyDescent="0.25">
      <c r="A297" s="117"/>
      <c r="B297" s="102"/>
      <c r="C297" s="102"/>
      <c r="D297" s="102"/>
      <c r="E297" s="102"/>
      <c r="F297" s="102"/>
      <c r="G297" s="81" t="s">
        <v>615</v>
      </c>
      <c r="H297" s="12">
        <v>43556</v>
      </c>
      <c r="I297" s="12">
        <v>43830</v>
      </c>
      <c r="J297" s="46" t="s">
        <v>612</v>
      </c>
      <c r="K297" s="119"/>
      <c r="L297" s="102"/>
      <c r="M297" s="117"/>
      <c r="N297" s="102"/>
      <c r="O297" s="102"/>
      <c r="P297" s="108"/>
      <c r="Q297" s="127"/>
      <c r="R297" s="102"/>
      <c r="S297" s="106"/>
      <c r="T297" s="106"/>
      <c r="U297" s="107"/>
      <c r="V297" s="117"/>
      <c r="W297" s="102"/>
      <c r="X297" s="102"/>
      <c r="Y297" s="108"/>
      <c r="Z297" s="127"/>
      <c r="AA297" s="102"/>
      <c r="AB297" s="106"/>
      <c r="AC297" s="106"/>
      <c r="AD297" s="107"/>
      <c r="AE297" s="117"/>
      <c r="AF297" s="102"/>
      <c r="AG297" s="102"/>
      <c r="AH297" s="108"/>
      <c r="AI297" s="127"/>
      <c r="AJ297" s="102"/>
      <c r="AK297" s="106"/>
      <c r="AL297" s="106"/>
    </row>
    <row r="298" spans="1:38" ht="38.25" customHeight="1" x14ac:dyDescent="0.25">
      <c r="A298" s="117"/>
      <c r="B298" s="102"/>
      <c r="C298" s="102"/>
      <c r="D298" s="102"/>
      <c r="E298" s="102"/>
      <c r="F298" s="102"/>
      <c r="G298" s="81" t="s">
        <v>616</v>
      </c>
      <c r="H298" s="12">
        <v>43770</v>
      </c>
      <c r="I298" s="12">
        <v>43830</v>
      </c>
      <c r="J298" s="46" t="s">
        <v>612</v>
      </c>
      <c r="K298" s="119"/>
      <c r="L298" s="102"/>
      <c r="M298" s="117"/>
      <c r="N298" s="102"/>
      <c r="O298" s="102"/>
      <c r="P298" s="108"/>
      <c r="Q298" s="127"/>
      <c r="R298" s="102"/>
      <c r="S298" s="106"/>
      <c r="T298" s="106"/>
      <c r="U298" s="107"/>
      <c r="V298" s="117"/>
      <c r="W298" s="102"/>
      <c r="X298" s="102"/>
      <c r="Y298" s="108"/>
      <c r="Z298" s="127"/>
      <c r="AA298" s="102"/>
      <c r="AB298" s="106"/>
      <c r="AC298" s="106"/>
      <c r="AD298" s="107"/>
      <c r="AE298" s="117"/>
      <c r="AF298" s="102"/>
      <c r="AG298" s="102"/>
      <c r="AH298" s="108"/>
      <c r="AI298" s="127"/>
      <c r="AJ298" s="102"/>
      <c r="AK298" s="106"/>
      <c r="AL298" s="106"/>
    </row>
    <row r="299" spans="1:38" ht="60" customHeight="1" x14ac:dyDescent="0.25">
      <c r="A299" s="129" t="s">
        <v>39</v>
      </c>
      <c r="B299" s="130" t="s">
        <v>617</v>
      </c>
      <c r="C299" s="130">
        <v>62</v>
      </c>
      <c r="D299" s="130" t="s">
        <v>618</v>
      </c>
      <c r="E299" s="130">
        <v>0</v>
      </c>
      <c r="F299" s="130" t="s">
        <v>619</v>
      </c>
      <c r="G299" s="14" t="s">
        <v>620</v>
      </c>
      <c r="H299" s="15">
        <v>43466</v>
      </c>
      <c r="I299" s="15">
        <v>43524</v>
      </c>
      <c r="J299" s="45" t="s">
        <v>612</v>
      </c>
      <c r="K299" s="119" t="s">
        <v>603</v>
      </c>
      <c r="L299" s="102" t="s">
        <v>621</v>
      </c>
      <c r="M299" s="117" t="s">
        <v>622</v>
      </c>
      <c r="N299" s="102" t="s">
        <v>799</v>
      </c>
      <c r="O299" s="102" t="s">
        <v>799</v>
      </c>
      <c r="P299" s="101">
        <f>IFERROR((90%/90%),"No aplica")</f>
        <v>1</v>
      </c>
      <c r="Q299" s="127" t="s">
        <v>750</v>
      </c>
      <c r="R299" s="102" t="s">
        <v>692</v>
      </c>
      <c r="S299" s="106" t="s">
        <v>807</v>
      </c>
      <c r="T299" s="106" t="s">
        <v>806</v>
      </c>
      <c r="U299" s="107" t="s">
        <v>805</v>
      </c>
      <c r="V299" s="117" t="s">
        <v>622</v>
      </c>
      <c r="W299" s="102" t="s">
        <v>799</v>
      </c>
      <c r="X299" s="102" t="s">
        <v>804</v>
      </c>
      <c r="Y299" s="101">
        <f>IFERROR((100%/90%),"No aplica")</f>
        <v>1.1111111111111112</v>
      </c>
      <c r="Z299" s="127" t="s">
        <v>750</v>
      </c>
      <c r="AA299" s="102" t="s">
        <v>803</v>
      </c>
      <c r="AB299" s="106" t="s">
        <v>802</v>
      </c>
      <c r="AC299" s="106" t="s">
        <v>801</v>
      </c>
      <c r="AD299" s="107" t="s">
        <v>800</v>
      </c>
      <c r="AE299" s="117" t="s">
        <v>622</v>
      </c>
      <c r="AF299" s="102" t="s">
        <v>799</v>
      </c>
      <c r="AG299" s="102" t="s">
        <v>798</v>
      </c>
      <c r="AH299" s="101">
        <f>IFERROR((92%/90%),"No aplica")</f>
        <v>1.0222222222222221</v>
      </c>
      <c r="AI299" s="127" t="s">
        <v>750</v>
      </c>
      <c r="AJ299" s="102" t="s">
        <v>692</v>
      </c>
      <c r="AK299" s="106" t="s">
        <v>797</v>
      </c>
      <c r="AL299" s="106" t="s">
        <v>796</v>
      </c>
    </row>
    <row r="300" spans="1:38" ht="60" customHeight="1" x14ac:dyDescent="0.25">
      <c r="A300" s="129"/>
      <c r="B300" s="130"/>
      <c r="C300" s="130"/>
      <c r="D300" s="130"/>
      <c r="E300" s="130"/>
      <c r="F300" s="130"/>
      <c r="G300" s="14" t="s">
        <v>623</v>
      </c>
      <c r="H300" s="15">
        <v>43466</v>
      </c>
      <c r="I300" s="15">
        <v>43830</v>
      </c>
      <c r="J300" s="45" t="s">
        <v>612</v>
      </c>
      <c r="K300" s="119"/>
      <c r="L300" s="102"/>
      <c r="M300" s="117"/>
      <c r="N300" s="102"/>
      <c r="O300" s="102"/>
      <c r="P300" s="101"/>
      <c r="Q300" s="127"/>
      <c r="R300" s="102"/>
      <c r="S300" s="106"/>
      <c r="T300" s="106"/>
      <c r="U300" s="107"/>
      <c r="V300" s="117"/>
      <c r="W300" s="102"/>
      <c r="X300" s="102"/>
      <c r="Y300" s="101"/>
      <c r="Z300" s="127"/>
      <c r="AA300" s="102"/>
      <c r="AB300" s="106"/>
      <c r="AC300" s="106"/>
      <c r="AD300" s="107"/>
      <c r="AE300" s="117"/>
      <c r="AF300" s="102"/>
      <c r="AG300" s="102"/>
      <c r="AH300" s="101"/>
      <c r="AI300" s="127"/>
      <c r="AJ300" s="102"/>
      <c r="AK300" s="106"/>
      <c r="AL300" s="106"/>
    </row>
    <row r="301" spans="1:38" ht="59.25" customHeight="1" x14ac:dyDescent="0.25">
      <c r="A301" s="117" t="s">
        <v>39</v>
      </c>
      <c r="B301" s="102" t="s">
        <v>624</v>
      </c>
      <c r="C301" s="102">
        <v>63</v>
      </c>
      <c r="D301" s="102" t="s">
        <v>625</v>
      </c>
      <c r="E301" s="102">
        <v>0</v>
      </c>
      <c r="F301" s="102" t="s">
        <v>626</v>
      </c>
      <c r="G301" s="81" t="s">
        <v>627</v>
      </c>
      <c r="H301" s="12">
        <v>43466</v>
      </c>
      <c r="I301" s="12">
        <v>43646</v>
      </c>
      <c r="J301" s="46" t="s">
        <v>612</v>
      </c>
      <c r="K301" s="119" t="s">
        <v>628</v>
      </c>
      <c r="L301" s="102" t="s">
        <v>629</v>
      </c>
      <c r="M301" s="117" t="s">
        <v>630</v>
      </c>
      <c r="N301" s="102" t="s">
        <v>795</v>
      </c>
      <c r="O301" s="102" t="s">
        <v>795</v>
      </c>
      <c r="P301" s="101">
        <f>IFERROR((5%/5%),"No aplica")</f>
        <v>1</v>
      </c>
      <c r="Q301" s="101">
        <f>IFERROR((5%/100%),"No aplica")</f>
        <v>0.05</v>
      </c>
      <c r="R301" s="102" t="s">
        <v>692</v>
      </c>
      <c r="S301" s="106" t="s">
        <v>794</v>
      </c>
      <c r="T301" s="106" t="s">
        <v>793</v>
      </c>
      <c r="U301" s="107" t="s">
        <v>792</v>
      </c>
      <c r="V301" s="117" t="s">
        <v>630</v>
      </c>
      <c r="W301" s="102" t="s">
        <v>791</v>
      </c>
      <c r="X301" s="102" t="s">
        <v>790</v>
      </c>
      <c r="Y301" s="101">
        <f>IFERROR((31%/21%),"No aplica")</f>
        <v>1.4761904761904763</v>
      </c>
      <c r="Z301" s="101">
        <f>IFERROR(((5%+31%)/100%),"No aplica")</f>
        <v>0.36</v>
      </c>
      <c r="AA301" s="102" t="s">
        <v>692</v>
      </c>
      <c r="AB301" s="106" t="s">
        <v>789</v>
      </c>
      <c r="AC301" s="106" t="s">
        <v>788</v>
      </c>
      <c r="AD301" s="107" t="s">
        <v>787</v>
      </c>
      <c r="AE301" s="117" t="s">
        <v>630</v>
      </c>
      <c r="AF301" s="102" t="s">
        <v>786</v>
      </c>
      <c r="AG301" s="102" t="s">
        <v>785</v>
      </c>
      <c r="AH301" s="101">
        <f>IFERROR((12%/39%),"No aplica")</f>
        <v>0.30769230769230765</v>
      </c>
      <c r="AI301" s="101">
        <f>IFERROR(((5%+31%+12%)/100%),"No aplica")</f>
        <v>0.48</v>
      </c>
      <c r="AJ301" s="102" t="s">
        <v>713</v>
      </c>
      <c r="AK301" s="106" t="s">
        <v>784</v>
      </c>
      <c r="AL301" s="106" t="s">
        <v>783</v>
      </c>
    </row>
    <row r="302" spans="1:38" ht="59.25" customHeight="1" x14ac:dyDescent="0.25">
      <c r="A302" s="117"/>
      <c r="B302" s="102"/>
      <c r="C302" s="102"/>
      <c r="D302" s="102"/>
      <c r="E302" s="102"/>
      <c r="F302" s="102"/>
      <c r="G302" s="81" t="s">
        <v>631</v>
      </c>
      <c r="H302" s="12">
        <v>43647</v>
      </c>
      <c r="I302" s="12">
        <v>43676</v>
      </c>
      <c r="J302" s="46" t="s">
        <v>612</v>
      </c>
      <c r="K302" s="119"/>
      <c r="L302" s="102"/>
      <c r="M302" s="117"/>
      <c r="N302" s="102"/>
      <c r="O302" s="102"/>
      <c r="P302" s="101"/>
      <c r="Q302" s="101"/>
      <c r="R302" s="102"/>
      <c r="S302" s="106"/>
      <c r="T302" s="106"/>
      <c r="U302" s="107"/>
      <c r="V302" s="117"/>
      <c r="W302" s="102"/>
      <c r="X302" s="102"/>
      <c r="Y302" s="101"/>
      <c r="Z302" s="101"/>
      <c r="AA302" s="102"/>
      <c r="AB302" s="106"/>
      <c r="AC302" s="106"/>
      <c r="AD302" s="107"/>
      <c r="AE302" s="117"/>
      <c r="AF302" s="102"/>
      <c r="AG302" s="102"/>
      <c r="AH302" s="101"/>
      <c r="AI302" s="101"/>
      <c r="AJ302" s="102"/>
      <c r="AK302" s="106"/>
      <c r="AL302" s="106"/>
    </row>
    <row r="303" spans="1:38" ht="59.25" customHeight="1" x14ac:dyDescent="0.25">
      <c r="A303" s="117"/>
      <c r="B303" s="102"/>
      <c r="C303" s="102"/>
      <c r="D303" s="102"/>
      <c r="E303" s="102"/>
      <c r="F303" s="102"/>
      <c r="G303" s="81" t="s">
        <v>632</v>
      </c>
      <c r="H303" s="12">
        <v>43709</v>
      </c>
      <c r="I303" s="12">
        <v>43830</v>
      </c>
      <c r="J303" s="46" t="s">
        <v>612</v>
      </c>
      <c r="K303" s="119"/>
      <c r="L303" s="102"/>
      <c r="M303" s="117"/>
      <c r="N303" s="102"/>
      <c r="O303" s="102"/>
      <c r="P303" s="101"/>
      <c r="Q303" s="101"/>
      <c r="R303" s="102"/>
      <c r="S303" s="106"/>
      <c r="T303" s="106"/>
      <c r="U303" s="107"/>
      <c r="V303" s="117"/>
      <c r="W303" s="102"/>
      <c r="X303" s="102"/>
      <c r="Y303" s="101"/>
      <c r="Z303" s="101"/>
      <c r="AA303" s="102"/>
      <c r="AB303" s="106"/>
      <c r="AC303" s="106"/>
      <c r="AD303" s="107"/>
      <c r="AE303" s="117"/>
      <c r="AF303" s="102"/>
      <c r="AG303" s="102"/>
      <c r="AH303" s="101"/>
      <c r="AI303" s="101"/>
      <c r="AJ303" s="102"/>
      <c r="AK303" s="106"/>
      <c r="AL303" s="106"/>
    </row>
    <row r="304" spans="1:38" ht="59.25" customHeight="1" x14ac:dyDescent="0.25">
      <c r="A304" s="117"/>
      <c r="B304" s="102"/>
      <c r="C304" s="102"/>
      <c r="D304" s="102"/>
      <c r="E304" s="102"/>
      <c r="F304" s="102"/>
      <c r="G304" s="81" t="s">
        <v>633</v>
      </c>
      <c r="H304" s="12">
        <v>43466</v>
      </c>
      <c r="I304" s="12">
        <v>43641</v>
      </c>
      <c r="J304" s="46" t="s">
        <v>612</v>
      </c>
      <c r="K304" s="119"/>
      <c r="L304" s="102"/>
      <c r="M304" s="117"/>
      <c r="N304" s="102"/>
      <c r="O304" s="102"/>
      <c r="P304" s="101"/>
      <c r="Q304" s="101"/>
      <c r="R304" s="102"/>
      <c r="S304" s="106"/>
      <c r="T304" s="106"/>
      <c r="U304" s="107"/>
      <c r="V304" s="117"/>
      <c r="W304" s="102"/>
      <c r="X304" s="102"/>
      <c r="Y304" s="101"/>
      <c r="Z304" s="101"/>
      <c r="AA304" s="102"/>
      <c r="AB304" s="106"/>
      <c r="AC304" s="106"/>
      <c r="AD304" s="107"/>
      <c r="AE304" s="117"/>
      <c r="AF304" s="102"/>
      <c r="AG304" s="102"/>
      <c r="AH304" s="101"/>
      <c r="AI304" s="101"/>
      <c r="AJ304" s="102"/>
      <c r="AK304" s="106"/>
      <c r="AL304" s="106"/>
    </row>
    <row r="305" spans="1:38" ht="59.25" customHeight="1" x14ac:dyDescent="0.25">
      <c r="A305" s="117"/>
      <c r="B305" s="102"/>
      <c r="C305" s="102"/>
      <c r="D305" s="102"/>
      <c r="E305" s="102"/>
      <c r="F305" s="102"/>
      <c r="G305" s="81" t="s">
        <v>634</v>
      </c>
      <c r="H305" s="12">
        <v>43641</v>
      </c>
      <c r="I305" s="12">
        <v>43708</v>
      </c>
      <c r="J305" s="46" t="s">
        <v>612</v>
      </c>
      <c r="K305" s="119"/>
      <c r="L305" s="102"/>
      <c r="M305" s="117"/>
      <c r="N305" s="102"/>
      <c r="O305" s="102"/>
      <c r="P305" s="101"/>
      <c r="Q305" s="101"/>
      <c r="R305" s="102"/>
      <c r="S305" s="106"/>
      <c r="T305" s="106"/>
      <c r="U305" s="107"/>
      <c r="V305" s="117"/>
      <c r="W305" s="102"/>
      <c r="X305" s="102"/>
      <c r="Y305" s="101"/>
      <c r="Z305" s="101"/>
      <c r="AA305" s="102"/>
      <c r="AB305" s="106"/>
      <c r="AC305" s="106"/>
      <c r="AD305" s="107"/>
      <c r="AE305" s="117"/>
      <c r="AF305" s="102"/>
      <c r="AG305" s="102"/>
      <c r="AH305" s="101"/>
      <c r="AI305" s="101"/>
      <c r="AJ305" s="102"/>
      <c r="AK305" s="106"/>
      <c r="AL305" s="106"/>
    </row>
    <row r="306" spans="1:38" ht="59.25" customHeight="1" x14ac:dyDescent="0.25">
      <c r="A306" s="117"/>
      <c r="B306" s="102"/>
      <c r="C306" s="102"/>
      <c r="D306" s="102"/>
      <c r="E306" s="102"/>
      <c r="F306" s="102"/>
      <c r="G306" s="81" t="s">
        <v>635</v>
      </c>
      <c r="H306" s="12">
        <v>43678</v>
      </c>
      <c r="I306" s="12">
        <v>43830</v>
      </c>
      <c r="J306" s="46" t="s">
        <v>612</v>
      </c>
      <c r="K306" s="119"/>
      <c r="L306" s="102"/>
      <c r="M306" s="117"/>
      <c r="N306" s="102"/>
      <c r="O306" s="102"/>
      <c r="P306" s="101"/>
      <c r="Q306" s="101"/>
      <c r="R306" s="102"/>
      <c r="S306" s="106"/>
      <c r="T306" s="106"/>
      <c r="U306" s="107"/>
      <c r="V306" s="117"/>
      <c r="W306" s="102"/>
      <c r="X306" s="102"/>
      <c r="Y306" s="101"/>
      <c r="Z306" s="101"/>
      <c r="AA306" s="102"/>
      <c r="AB306" s="106"/>
      <c r="AC306" s="106"/>
      <c r="AD306" s="107"/>
      <c r="AE306" s="117"/>
      <c r="AF306" s="102"/>
      <c r="AG306" s="102"/>
      <c r="AH306" s="101"/>
      <c r="AI306" s="101"/>
      <c r="AJ306" s="102"/>
      <c r="AK306" s="106"/>
      <c r="AL306" s="106"/>
    </row>
    <row r="307" spans="1:38" ht="50.25" customHeight="1" x14ac:dyDescent="0.25">
      <c r="A307" s="129" t="s">
        <v>39</v>
      </c>
      <c r="B307" s="130" t="s">
        <v>636</v>
      </c>
      <c r="C307" s="130">
        <v>64</v>
      </c>
      <c r="D307" s="130" t="s">
        <v>637</v>
      </c>
      <c r="E307" s="130">
        <v>0</v>
      </c>
      <c r="F307" s="130" t="s">
        <v>638</v>
      </c>
      <c r="G307" s="14" t="s">
        <v>639</v>
      </c>
      <c r="H307" s="15">
        <v>43617</v>
      </c>
      <c r="I307" s="15">
        <v>43830</v>
      </c>
      <c r="J307" s="45" t="s">
        <v>612</v>
      </c>
      <c r="K307" s="119" t="s">
        <v>603</v>
      </c>
      <c r="L307" s="102" t="s">
        <v>472</v>
      </c>
      <c r="M307" s="117" t="s">
        <v>640</v>
      </c>
      <c r="N307" s="102" t="s">
        <v>779</v>
      </c>
      <c r="O307" s="102" t="s">
        <v>782</v>
      </c>
      <c r="P307" s="101" t="str">
        <f>IFERROR((0%/0%),"No aplica")</f>
        <v>No aplica</v>
      </c>
      <c r="Q307" s="101">
        <f>IFERROR((0%/100%),"No aplica")</f>
        <v>0</v>
      </c>
      <c r="R307" s="102" t="s">
        <v>697</v>
      </c>
      <c r="S307" s="106" t="s">
        <v>700</v>
      </c>
      <c r="T307" s="106" t="s">
        <v>75</v>
      </c>
      <c r="U307" s="107" t="s">
        <v>781</v>
      </c>
      <c r="V307" s="117" t="s">
        <v>640</v>
      </c>
      <c r="W307" s="102" t="s">
        <v>780</v>
      </c>
      <c r="X307" s="102" t="s">
        <v>779</v>
      </c>
      <c r="Y307" s="101">
        <f>IFERROR((0%/40%),"No aplica")</f>
        <v>0</v>
      </c>
      <c r="Z307" s="101">
        <f>IFERROR((0%/100%),"No aplica")</f>
        <v>0</v>
      </c>
      <c r="AA307" s="102" t="s">
        <v>703</v>
      </c>
      <c r="AB307" s="106" t="s">
        <v>778</v>
      </c>
      <c r="AC307" s="106" t="s">
        <v>75</v>
      </c>
      <c r="AD307" s="107" t="s">
        <v>777</v>
      </c>
      <c r="AE307" s="117" t="s">
        <v>640</v>
      </c>
      <c r="AF307" s="102" t="s">
        <v>776</v>
      </c>
      <c r="AG307" s="102" t="s">
        <v>775</v>
      </c>
      <c r="AH307" s="101">
        <f>IFERROR((45%/20%),"No aplica")</f>
        <v>2.25</v>
      </c>
      <c r="AI307" s="101">
        <f>IFERROR(((0%+0%+45%)/100%),"No aplica")</f>
        <v>0.45</v>
      </c>
      <c r="AJ307" s="102" t="s">
        <v>713</v>
      </c>
      <c r="AK307" s="106" t="s">
        <v>774</v>
      </c>
      <c r="AL307" s="106" t="s">
        <v>773</v>
      </c>
    </row>
    <row r="308" spans="1:38" ht="50.25" customHeight="1" x14ac:dyDescent="0.25">
      <c r="A308" s="129"/>
      <c r="B308" s="130"/>
      <c r="C308" s="130"/>
      <c r="D308" s="130"/>
      <c r="E308" s="130"/>
      <c r="F308" s="130"/>
      <c r="G308" s="14" t="s">
        <v>641</v>
      </c>
      <c r="H308" s="15">
        <v>43678</v>
      </c>
      <c r="I308" s="15">
        <v>43830</v>
      </c>
      <c r="J308" s="45" t="s">
        <v>612</v>
      </c>
      <c r="K308" s="119"/>
      <c r="L308" s="102"/>
      <c r="M308" s="117"/>
      <c r="N308" s="102"/>
      <c r="O308" s="102"/>
      <c r="P308" s="101"/>
      <c r="Q308" s="101"/>
      <c r="R308" s="102"/>
      <c r="S308" s="106"/>
      <c r="T308" s="106"/>
      <c r="U308" s="107"/>
      <c r="V308" s="117"/>
      <c r="W308" s="102"/>
      <c r="X308" s="102"/>
      <c r="Y308" s="101"/>
      <c r="Z308" s="101"/>
      <c r="AA308" s="102"/>
      <c r="AB308" s="106"/>
      <c r="AC308" s="106"/>
      <c r="AD308" s="107"/>
      <c r="AE308" s="117"/>
      <c r="AF308" s="102"/>
      <c r="AG308" s="102"/>
      <c r="AH308" s="101"/>
      <c r="AI308" s="101"/>
      <c r="AJ308" s="102"/>
      <c r="AK308" s="106"/>
      <c r="AL308" s="106"/>
    </row>
    <row r="309" spans="1:38" ht="31.5" customHeight="1" x14ac:dyDescent="0.25">
      <c r="A309" s="129" t="s">
        <v>39</v>
      </c>
      <c r="B309" s="130" t="s">
        <v>642</v>
      </c>
      <c r="C309" s="130">
        <v>65</v>
      </c>
      <c r="D309" s="130" t="s">
        <v>643</v>
      </c>
      <c r="E309" s="130">
        <v>0</v>
      </c>
      <c r="F309" s="130" t="s">
        <v>643</v>
      </c>
      <c r="G309" s="14" t="s">
        <v>644</v>
      </c>
      <c r="H309" s="15">
        <v>43647</v>
      </c>
      <c r="I309" s="15">
        <v>43799</v>
      </c>
      <c r="J309" s="45" t="s">
        <v>612</v>
      </c>
      <c r="K309" s="119" t="s">
        <v>645</v>
      </c>
      <c r="L309" s="102" t="s">
        <v>646</v>
      </c>
      <c r="M309" s="117" t="s">
        <v>647</v>
      </c>
      <c r="N309" s="102" t="s">
        <v>772</v>
      </c>
      <c r="O309" s="102" t="s">
        <v>771</v>
      </c>
      <c r="P309" s="101">
        <f>IFERROR((23%/6%),"No aplica")</f>
        <v>3.8333333333333335</v>
      </c>
      <c r="Q309" s="101">
        <f>IFERROR((23%/100%),"No aplica")</f>
        <v>0.23</v>
      </c>
      <c r="R309" s="102" t="s">
        <v>692</v>
      </c>
      <c r="S309" s="106" t="s">
        <v>770</v>
      </c>
      <c r="T309" s="106" t="s">
        <v>769</v>
      </c>
      <c r="U309" s="107" t="s">
        <v>768</v>
      </c>
      <c r="V309" s="117" t="s">
        <v>647</v>
      </c>
      <c r="W309" s="102" t="s">
        <v>767</v>
      </c>
      <c r="X309" s="102" t="s">
        <v>767</v>
      </c>
      <c r="Y309" s="101" t="str">
        <f>IFERROR((0%/0%),"No aplica")</f>
        <v>No aplica</v>
      </c>
      <c r="Z309" s="101">
        <f>IFERROR((23%/100%),"No aplica")</f>
        <v>0.23</v>
      </c>
      <c r="AA309" s="102" t="s">
        <v>692</v>
      </c>
      <c r="AB309" s="106" t="s">
        <v>766</v>
      </c>
      <c r="AC309" s="106" t="s">
        <v>765</v>
      </c>
      <c r="AD309" s="107" t="s">
        <v>764</v>
      </c>
      <c r="AE309" s="117" t="s">
        <v>647</v>
      </c>
      <c r="AF309" s="102" t="s">
        <v>763</v>
      </c>
      <c r="AG309" s="102" t="s">
        <v>762</v>
      </c>
      <c r="AH309" s="101">
        <f>IFERROR((40%/54.2%),"No aplica")</f>
        <v>0.73800738007380073</v>
      </c>
      <c r="AI309" s="101">
        <f>IFERROR(((23%+40%)/100%),"No aplica")</f>
        <v>0.63</v>
      </c>
      <c r="AJ309" s="102" t="s">
        <v>692</v>
      </c>
      <c r="AK309" s="106" t="s">
        <v>761</v>
      </c>
      <c r="AL309" s="106" t="s">
        <v>760</v>
      </c>
    </row>
    <row r="310" spans="1:38" ht="34.5" customHeight="1" x14ac:dyDescent="0.25">
      <c r="A310" s="129"/>
      <c r="B310" s="130"/>
      <c r="C310" s="130"/>
      <c r="D310" s="130"/>
      <c r="E310" s="130"/>
      <c r="F310" s="130"/>
      <c r="G310" s="14" t="s">
        <v>648</v>
      </c>
      <c r="H310" s="15">
        <v>43709</v>
      </c>
      <c r="I310" s="15">
        <v>43830</v>
      </c>
      <c r="J310" s="45" t="s">
        <v>612</v>
      </c>
      <c r="K310" s="119"/>
      <c r="L310" s="102"/>
      <c r="M310" s="117"/>
      <c r="N310" s="102"/>
      <c r="O310" s="102"/>
      <c r="P310" s="101"/>
      <c r="Q310" s="101"/>
      <c r="R310" s="102"/>
      <c r="S310" s="106"/>
      <c r="T310" s="106"/>
      <c r="U310" s="107"/>
      <c r="V310" s="117"/>
      <c r="W310" s="102"/>
      <c r="X310" s="102"/>
      <c r="Y310" s="101"/>
      <c r="Z310" s="101"/>
      <c r="AA310" s="102"/>
      <c r="AB310" s="106"/>
      <c r="AC310" s="106"/>
      <c r="AD310" s="107"/>
      <c r="AE310" s="117"/>
      <c r="AF310" s="102"/>
      <c r="AG310" s="102"/>
      <c r="AH310" s="101"/>
      <c r="AI310" s="101"/>
      <c r="AJ310" s="102"/>
      <c r="AK310" s="106"/>
      <c r="AL310" s="106"/>
    </row>
    <row r="311" spans="1:38" ht="29.25" customHeight="1" x14ac:dyDescent="0.25">
      <c r="A311" s="129"/>
      <c r="B311" s="130"/>
      <c r="C311" s="130"/>
      <c r="D311" s="130"/>
      <c r="E311" s="130"/>
      <c r="F311" s="130"/>
      <c r="G311" s="14" t="s">
        <v>649</v>
      </c>
      <c r="H311" s="15">
        <v>43647</v>
      </c>
      <c r="I311" s="15">
        <v>43830</v>
      </c>
      <c r="J311" s="45" t="s">
        <v>612</v>
      </c>
      <c r="K311" s="119"/>
      <c r="L311" s="102"/>
      <c r="M311" s="117"/>
      <c r="N311" s="102"/>
      <c r="O311" s="102"/>
      <c r="P311" s="101"/>
      <c r="Q311" s="101"/>
      <c r="R311" s="102"/>
      <c r="S311" s="106"/>
      <c r="T311" s="106"/>
      <c r="U311" s="107"/>
      <c r="V311" s="117"/>
      <c r="W311" s="102"/>
      <c r="X311" s="102"/>
      <c r="Y311" s="101"/>
      <c r="Z311" s="101"/>
      <c r="AA311" s="102"/>
      <c r="AB311" s="106"/>
      <c r="AC311" s="106"/>
      <c r="AD311" s="107"/>
      <c r="AE311" s="117"/>
      <c r="AF311" s="102"/>
      <c r="AG311" s="102"/>
      <c r="AH311" s="101"/>
      <c r="AI311" s="101"/>
      <c r="AJ311" s="102"/>
      <c r="AK311" s="106"/>
      <c r="AL311" s="106"/>
    </row>
    <row r="312" spans="1:38" ht="16.5" customHeight="1" x14ac:dyDescent="0.25">
      <c r="A312" s="38" t="s">
        <v>51</v>
      </c>
      <c r="B312" s="39" t="s">
        <v>51</v>
      </c>
      <c r="C312" s="39"/>
      <c r="D312" s="39" t="s">
        <v>51</v>
      </c>
      <c r="E312" s="39" t="s">
        <v>51</v>
      </c>
      <c r="F312" s="39" t="s">
        <v>51</v>
      </c>
      <c r="G312" s="44" t="s">
        <v>51</v>
      </c>
      <c r="H312" s="39" t="s">
        <v>51</v>
      </c>
      <c r="I312" s="39" t="s">
        <v>51</v>
      </c>
      <c r="J312" s="43" t="s">
        <v>51</v>
      </c>
      <c r="K312" s="42" t="s">
        <v>51</v>
      </c>
      <c r="L312" s="39" t="s">
        <v>51</v>
      </c>
      <c r="M312" s="38" t="s">
        <v>51</v>
      </c>
      <c r="N312" s="39"/>
      <c r="O312" s="39"/>
      <c r="P312" s="41"/>
      <c r="Q312" s="41"/>
      <c r="R312" s="39"/>
      <c r="S312" s="37"/>
      <c r="T312" s="37"/>
      <c r="U312" s="40"/>
      <c r="V312" s="38" t="s">
        <v>51</v>
      </c>
      <c r="W312" s="39"/>
      <c r="X312" s="39"/>
      <c r="Y312" s="39"/>
      <c r="Z312" s="39"/>
      <c r="AA312" s="38" t="s">
        <v>51</v>
      </c>
      <c r="AB312" s="37"/>
      <c r="AC312" s="37"/>
      <c r="AD312" s="40"/>
      <c r="AE312" s="38" t="s">
        <v>51</v>
      </c>
      <c r="AF312" s="39"/>
      <c r="AG312" s="39"/>
      <c r="AH312" s="39"/>
      <c r="AI312" s="39"/>
      <c r="AJ312" s="38" t="s">
        <v>51</v>
      </c>
      <c r="AK312" s="37"/>
      <c r="AL312" s="37"/>
    </row>
    <row r="313" spans="1:38" ht="45" customHeight="1" x14ac:dyDescent="0.25">
      <c r="A313" s="94" t="s">
        <v>39</v>
      </c>
      <c r="B313" s="95" t="s">
        <v>650</v>
      </c>
      <c r="C313" s="95">
        <v>66</v>
      </c>
      <c r="D313" s="95" t="s">
        <v>651</v>
      </c>
      <c r="E313" s="95">
        <v>0</v>
      </c>
      <c r="F313" s="95" t="s">
        <v>652</v>
      </c>
      <c r="G313" s="10" t="s">
        <v>653</v>
      </c>
      <c r="H313" s="11">
        <v>43466</v>
      </c>
      <c r="I313" s="11">
        <v>43830</v>
      </c>
      <c r="J313" s="35" t="s">
        <v>654</v>
      </c>
      <c r="K313" s="119" t="s">
        <v>574</v>
      </c>
      <c r="L313" s="102" t="s">
        <v>655</v>
      </c>
      <c r="M313" s="117" t="s">
        <v>656</v>
      </c>
      <c r="N313" s="102" t="s">
        <v>656</v>
      </c>
      <c r="O313" s="102" t="s">
        <v>759</v>
      </c>
      <c r="P313" s="101">
        <f>IFERROR((0%/100%),"No aplica")</f>
        <v>0</v>
      </c>
      <c r="Q313" s="127" t="s">
        <v>750</v>
      </c>
      <c r="R313" s="102" t="s">
        <v>703</v>
      </c>
      <c r="S313" s="106" t="s">
        <v>758</v>
      </c>
      <c r="T313" s="106" t="s">
        <v>757</v>
      </c>
      <c r="U313" s="107" t="s">
        <v>756</v>
      </c>
      <c r="V313" s="117" t="s">
        <v>656</v>
      </c>
      <c r="W313" s="102" t="s">
        <v>656</v>
      </c>
      <c r="X313" s="102" t="s">
        <v>755</v>
      </c>
      <c r="Y313" s="101">
        <f>IFERROR((61%/100%),"No aplica")</f>
        <v>0.61</v>
      </c>
      <c r="Z313" s="127" t="s">
        <v>750</v>
      </c>
      <c r="AA313" s="102" t="s">
        <v>713</v>
      </c>
      <c r="AB313" s="106" t="s">
        <v>754</v>
      </c>
      <c r="AC313" s="106" t="s">
        <v>753</v>
      </c>
      <c r="AD313" s="107" t="s">
        <v>752</v>
      </c>
      <c r="AE313" s="117" t="s">
        <v>656</v>
      </c>
      <c r="AF313" s="102" t="s">
        <v>656</v>
      </c>
      <c r="AG313" s="102" t="s">
        <v>751</v>
      </c>
      <c r="AH313" s="101">
        <f>IFERROR((12.2%/100%),"No aplica")</f>
        <v>0.122</v>
      </c>
      <c r="AI313" s="127" t="s">
        <v>750</v>
      </c>
      <c r="AJ313" s="102" t="s">
        <v>703</v>
      </c>
      <c r="AK313" s="106" t="s">
        <v>749</v>
      </c>
      <c r="AL313" s="106" t="s">
        <v>748</v>
      </c>
    </row>
    <row r="314" spans="1:38" ht="48" customHeight="1" x14ac:dyDescent="0.25">
      <c r="A314" s="94"/>
      <c r="B314" s="95"/>
      <c r="C314" s="95"/>
      <c r="D314" s="95"/>
      <c r="E314" s="95"/>
      <c r="F314" s="95"/>
      <c r="G314" s="10" t="s">
        <v>657</v>
      </c>
      <c r="H314" s="11">
        <v>43466</v>
      </c>
      <c r="I314" s="11">
        <v>43830</v>
      </c>
      <c r="J314" s="35" t="s">
        <v>654</v>
      </c>
      <c r="K314" s="119"/>
      <c r="L314" s="102"/>
      <c r="M314" s="117"/>
      <c r="N314" s="102"/>
      <c r="O314" s="102"/>
      <c r="P314" s="101"/>
      <c r="Q314" s="127"/>
      <c r="R314" s="102"/>
      <c r="S314" s="106"/>
      <c r="T314" s="106"/>
      <c r="U314" s="107"/>
      <c r="V314" s="117"/>
      <c r="W314" s="102"/>
      <c r="X314" s="102"/>
      <c r="Y314" s="101"/>
      <c r="Z314" s="127"/>
      <c r="AA314" s="102"/>
      <c r="AB314" s="106"/>
      <c r="AC314" s="106"/>
      <c r="AD314" s="107"/>
      <c r="AE314" s="117"/>
      <c r="AF314" s="102"/>
      <c r="AG314" s="102"/>
      <c r="AH314" s="101"/>
      <c r="AI314" s="127"/>
      <c r="AJ314" s="102"/>
      <c r="AK314" s="106"/>
      <c r="AL314" s="106"/>
    </row>
    <row r="315" spans="1:38" ht="31.5" customHeight="1" x14ac:dyDescent="0.25">
      <c r="A315" s="94" t="s">
        <v>39</v>
      </c>
      <c r="B315" s="95" t="s">
        <v>650</v>
      </c>
      <c r="C315" s="102">
        <v>67</v>
      </c>
      <c r="D315" s="102" t="s">
        <v>658</v>
      </c>
      <c r="E315" s="102">
        <v>0</v>
      </c>
      <c r="F315" s="102" t="s">
        <v>659</v>
      </c>
      <c r="G315" s="81" t="s">
        <v>660</v>
      </c>
      <c r="H315" s="12">
        <v>43466</v>
      </c>
      <c r="I315" s="12">
        <v>43570</v>
      </c>
      <c r="J315" s="35" t="s">
        <v>654</v>
      </c>
      <c r="K315" s="119" t="s">
        <v>574</v>
      </c>
      <c r="L315" s="102" t="s">
        <v>655</v>
      </c>
      <c r="M315" s="117" t="s">
        <v>661</v>
      </c>
      <c r="N315" s="102" t="s">
        <v>747</v>
      </c>
      <c r="O315" s="102" t="s">
        <v>746</v>
      </c>
      <c r="P315" s="101">
        <f>IFERROR((40/45),"No aplica")</f>
        <v>0.88888888888888884</v>
      </c>
      <c r="Q315" s="101">
        <f>IFERROR((40/292),"No aplica")</f>
        <v>0.13698630136986301</v>
      </c>
      <c r="R315" s="102" t="s">
        <v>692</v>
      </c>
      <c r="S315" s="106" t="s">
        <v>745</v>
      </c>
      <c r="T315" s="106" t="s">
        <v>744</v>
      </c>
      <c r="U315" s="107" t="s">
        <v>743</v>
      </c>
      <c r="V315" s="117" t="s">
        <v>661</v>
      </c>
      <c r="W315" s="102" t="s">
        <v>742</v>
      </c>
      <c r="X315" s="102" t="s">
        <v>742</v>
      </c>
      <c r="Y315" s="101">
        <f>IFERROR((127/127),"No aplica")</f>
        <v>1</v>
      </c>
      <c r="Z315" s="108">
        <f>IFERROR(((40+127)/292),"No aplica")</f>
        <v>0.57191780821917804</v>
      </c>
      <c r="AA315" s="102" t="s">
        <v>692</v>
      </c>
      <c r="AB315" s="106" t="s">
        <v>741</v>
      </c>
      <c r="AC315" s="106" t="s">
        <v>740</v>
      </c>
      <c r="AD315" s="107" t="s">
        <v>739</v>
      </c>
      <c r="AE315" s="117" t="s">
        <v>661</v>
      </c>
      <c r="AF315" s="102" t="s">
        <v>738</v>
      </c>
      <c r="AG315" s="102" t="s">
        <v>737</v>
      </c>
      <c r="AH315" s="101">
        <f>IFERROR((20/60),"No aplica")</f>
        <v>0.33333333333333331</v>
      </c>
      <c r="AI315" s="108">
        <f>IFERROR(((40+127+20)/292),"No aplica")</f>
        <v>0.6404109589041096</v>
      </c>
      <c r="AJ315" s="102" t="s">
        <v>692</v>
      </c>
      <c r="AK315" s="106" t="s">
        <v>736</v>
      </c>
      <c r="AL315" s="106" t="s">
        <v>735</v>
      </c>
    </row>
    <row r="316" spans="1:38" ht="48.75" customHeight="1" x14ac:dyDescent="0.25">
      <c r="A316" s="94"/>
      <c r="B316" s="95"/>
      <c r="C316" s="102"/>
      <c r="D316" s="102"/>
      <c r="E316" s="102"/>
      <c r="F316" s="102"/>
      <c r="G316" s="81" t="s">
        <v>662</v>
      </c>
      <c r="H316" s="12">
        <v>43571</v>
      </c>
      <c r="I316" s="11">
        <v>43830</v>
      </c>
      <c r="J316" s="35" t="s">
        <v>654</v>
      </c>
      <c r="K316" s="119"/>
      <c r="L316" s="102"/>
      <c r="M316" s="117"/>
      <c r="N316" s="102"/>
      <c r="O316" s="102"/>
      <c r="P316" s="101"/>
      <c r="Q316" s="101"/>
      <c r="R316" s="102"/>
      <c r="S316" s="106"/>
      <c r="T316" s="106"/>
      <c r="U316" s="107"/>
      <c r="V316" s="117"/>
      <c r="W316" s="102"/>
      <c r="X316" s="102"/>
      <c r="Y316" s="101"/>
      <c r="Z316" s="108"/>
      <c r="AA316" s="102"/>
      <c r="AB316" s="106"/>
      <c r="AC316" s="106"/>
      <c r="AD316" s="107"/>
      <c r="AE316" s="117"/>
      <c r="AF316" s="102"/>
      <c r="AG316" s="102"/>
      <c r="AH316" s="101"/>
      <c r="AI316" s="108"/>
      <c r="AJ316" s="102"/>
      <c r="AK316" s="106"/>
      <c r="AL316" s="106"/>
    </row>
    <row r="317" spans="1:38" ht="33" customHeight="1" x14ac:dyDescent="0.25">
      <c r="A317" s="94" t="s">
        <v>39</v>
      </c>
      <c r="B317" s="95" t="s">
        <v>650</v>
      </c>
      <c r="C317" s="95">
        <v>68</v>
      </c>
      <c r="D317" s="95" t="s">
        <v>663</v>
      </c>
      <c r="E317" s="95">
        <v>0</v>
      </c>
      <c r="F317" s="102" t="s">
        <v>664</v>
      </c>
      <c r="G317" s="81" t="s">
        <v>665</v>
      </c>
      <c r="H317" s="12">
        <v>43466</v>
      </c>
      <c r="I317" s="12">
        <v>43616</v>
      </c>
      <c r="J317" s="35" t="s">
        <v>654</v>
      </c>
      <c r="K317" s="119" t="s">
        <v>574</v>
      </c>
      <c r="L317" s="102" t="s">
        <v>655</v>
      </c>
      <c r="M317" s="117" t="s">
        <v>666</v>
      </c>
      <c r="N317" s="102" t="s">
        <v>731</v>
      </c>
      <c r="O317" s="102" t="s">
        <v>731</v>
      </c>
      <c r="P317" s="101">
        <f>IFERROR((20%/20%),"No aplica")</f>
        <v>1</v>
      </c>
      <c r="Q317" s="101">
        <f>IFERROR((20%/100%),"No aplica")</f>
        <v>0.2</v>
      </c>
      <c r="R317" s="102" t="s">
        <v>692</v>
      </c>
      <c r="S317" s="106" t="s">
        <v>734</v>
      </c>
      <c r="T317" s="106" t="s">
        <v>733</v>
      </c>
      <c r="U317" s="107" t="s">
        <v>732</v>
      </c>
      <c r="V317" s="117" t="s">
        <v>666</v>
      </c>
      <c r="W317" s="102" t="s">
        <v>731</v>
      </c>
      <c r="X317" s="102" t="s">
        <v>731</v>
      </c>
      <c r="Y317" s="101">
        <f>IFERROR((20%/20%),"No aplica")</f>
        <v>1</v>
      </c>
      <c r="Z317" s="101">
        <f>IFERROR(((20%+20%)/100%),"No aplica")</f>
        <v>0.4</v>
      </c>
      <c r="AA317" s="102" t="s">
        <v>692</v>
      </c>
      <c r="AB317" s="106" t="s">
        <v>730</v>
      </c>
      <c r="AC317" s="106" t="s">
        <v>729</v>
      </c>
      <c r="AD317" s="107" t="s">
        <v>728</v>
      </c>
      <c r="AE317" s="117" t="s">
        <v>666</v>
      </c>
      <c r="AF317" s="102" t="s">
        <v>727</v>
      </c>
      <c r="AG317" s="102" t="s">
        <v>726</v>
      </c>
      <c r="AH317" s="101">
        <f>IFERROR((10%/30%),"No aplica")</f>
        <v>0.33333333333333337</v>
      </c>
      <c r="AI317" s="101">
        <f>IFERROR(((20%+20%+10%)/100%),"No aplica")</f>
        <v>0.5</v>
      </c>
      <c r="AJ317" s="102" t="s">
        <v>713</v>
      </c>
      <c r="AK317" s="106" t="s">
        <v>725</v>
      </c>
      <c r="AL317" s="106" t="s">
        <v>724</v>
      </c>
    </row>
    <row r="318" spans="1:38" ht="33" customHeight="1" x14ac:dyDescent="0.25">
      <c r="A318" s="94"/>
      <c r="B318" s="95"/>
      <c r="C318" s="95"/>
      <c r="D318" s="95"/>
      <c r="E318" s="95"/>
      <c r="F318" s="102"/>
      <c r="G318" s="81" t="s">
        <v>667</v>
      </c>
      <c r="H318" s="12">
        <v>43617</v>
      </c>
      <c r="I318" s="12">
        <v>43656</v>
      </c>
      <c r="J318" s="35" t="s">
        <v>654</v>
      </c>
      <c r="K318" s="119"/>
      <c r="L318" s="102"/>
      <c r="M318" s="117"/>
      <c r="N318" s="102"/>
      <c r="O318" s="102"/>
      <c r="P318" s="101"/>
      <c r="Q318" s="101"/>
      <c r="R318" s="102"/>
      <c r="S318" s="106"/>
      <c r="T318" s="106"/>
      <c r="U318" s="107"/>
      <c r="V318" s="117"/>
      <c r="W318" s="102"/>
      <c r="X318" s="102"/>
      <c r="Y318" s="101"/>
      <c r="Z318" s="101"/>
      <c r="AA318" s="102"/>
      <c r="AB318" s="106"/>
      <c r="AC318" s="106"/>
      <c r="AD318" s="107"/>
      <c r="AE318" s="117"/>
      <c r="AF318" s="102"/>
      <c r="AG318" s="102"/>
      <c r="AH318" s="101"/>
      <c r="AI318" s="101"/>
      <c r="AJ318" s="102"/>
      <c r="AK318" s="106"/>
      <c r="AL318" s="106"/>
    </row>
    <row r="319" spans="1:38" ht="33" customHeight="1" x14ac:dyDescent="0.25">
      <c r="A319" s="94"/>
      <c r="B319" s="95"/>
      <c r="C319" s="95"/>
      <c r="D319" s="95"/>
      <c r="E319" s="95"/>
      <c r="F319" s="102"/>
      <c r="G319" s="81" t="s">
        <v>668</v>
      </c>
      <c r="H319" s="12">
        <v>43657</v>
      </c>
      <c r="I319" s="11">
        <v>43830</v>
      </c>
      <c r="J319" s="35" t="s">
        <v>654</v>
      </c>
      <c r="K319" s="119"/>
      <c r="L319" s="102"/>
      <c r="M319" s="117"/>
      <c r="N319" s="102"/>
      <c r="O319" s="102"/>
      <c r="P319" s="101"/>
      <c r="Q319" s="101"/>
      <c r="R319" s="102"/>
      <c r="S319" s="106"/>
      <c r="T319" s="106"/>
      <c r="U319" s="107"/>
      <c r="V319" s="117"/>
      <c r="W319" s="102"/>
      <c r="X319" s="102"/>
      <c r="Y319" s="101"/>
      <c r="Z319" s="101"/>
      <c r="AA319" s="102"/>
      <c r="AB319" s="106"/>
      <c r="AC319" s="106"/>
      <c r="AD319" s="107"/>
      <c r="AE319" s="117"/>
      <c r="AF319" s="102"/>
      <c r="AG319" s="102"/>
      <c r="AH319" s="101"/>
      <c r="AI319" s="101"/>
      <c r="AJ319" s="102"/>
      <c r="AK319" s="106"/>
      <c r="AL319" s="106"/>
    </row>
    <row r="320" spans="1:38" ht="54" customHeight="1" x14ac:dyDescent="0.25">
      <c r="A320" s="129" t="s">
        <v>39</v>
      </c>
      <c r="B320" s="130" t="s">
        <v>650</v>
      </c>
      <c r="C320" s="130">
        <v>69</v>
      </c>
      <c r="D320" s="130" t="s">
        <v>669</v>
      </c>
      <c r="E320" s="130">
        <v>0</v>
      </c>
      <c r="F320" s="130" t="s">
        <v>670</v>
      </c>
      <c r="G320" s="14" t="s">
        <v>671</v>
      </c>
      <c r="H320" s="15">
        <v>43525</v>
      </c>
      <c r="I320" s="15">
        <v>43830</v>
      </c>
      <c r="J320" s="36" t="s">
        <v>654</v>
      </c>
      <c r="K320" s="119" t="s">
        <v>574</v>
      </c>
      <c r="L320" s="102" t="s">
        <v>655</v>
      </c>
      <c r="M320" s="117" t="s">
        <v>672</v>
      </c>
      <c r="N320" s="102" t="s">
        <v>723</v>
      </c>
      <c r="O320" s="102" t="s">
        <v>723</v>
      </c>
      <c r="P320" s="101">
        <f>IFERROR((33%/33%),"No aplica")</f>
        <v>1</v>
      </c>
      <c r="Q320" s="101">
        <f>IFERROR((33%/70%),"No aplica")</f>
        <v>0.47142857142857147</v>
      </c>
      <c r="R320" s="102" t="s">
        <v>692</v>
      </c>
      <c r="S320" s="106" t="s">
        <v>722</v>
      </c>
      <c r="T320" s="106" t="s">
        <v>721</v>
      </c>
      <c r="U320" s="107" t="s">
        <v>720</v>
      </c>
      <c r="V320" s="117" t="s">
        <v>672</v>
      </c>
      <c r="W320" s="102" t="s">
        <v>719</v>
      </c>
      <c r="X320" s="102" t="s">
        <v>719</v>
      </c>
      <c r="Y320" s="101">
        <f>IFERROR((2%/2%),"No aplica")</f>
        <v>1</v>
      </c>
      <c r="Z320" s="101">
        <f>IFERROR(((33%+2%)/70%),"No aplica")</f>
        <v>0.50000000000000011</v>
      </c>
      <c r="AA320" s="102" t="s">
        <v>692</v>
      </c>
      <c r="AB320" s="106" t="s">
        <v>718</v>
      </c>
      <c r="AC320" s="106" t="s">
        <v>717</v>
      </c>
      <c r="AD320" s="107" t="s">
        <v>716</v>
      </c>
      <c r="AE320" s="117" t="s">
        <v>672</v>
      </c>
      <c r="AF320" s="102" t="s">
        <v>715</v>
      </c>
      <c r="AG320" s="102" t="s">
        <v>714</v>
      </c>
      <c r="AH320" s="101">
        <f>IFERROR((5.5%/12%),"No aplica")</f>
        <v>0.45833333333333337</v>
      </c>
      <c r="AI320" s="101">
        <f>IFERROR(((33%+2%+5.5%)/70%),"No aplica")</f>
        <v>0.57857142857142863</v>
      </c>
      <c r="AJ320" s="102" t="s">
        <v>713</v>
      </c>
      <c r="AK320" s="106" t="s">
        <v>712</v>
      </c>
      <c r="AL320" s="106" t="s">
        <v>711</v>
      </c>
    </row>
    <row r="321" spans="1:38" ht="54" customHeight="1" x14ac:dyDescent="0.25">
      <c r="A321" s="129"/>
      <c r="B321" s="130"/>
      <c r="C321" s="130"/>
      <c r="D321" s="130"/>
      <c r="E321" s="130"/>
      <c r="F321" s="130"/>
      <c r="G321" s="14" t="s">
        <v>673</v>
      </c>
      <c r="H321" s="15">
        <v>43525</v>
      </c>
      <c r="I321" s="15">
        <v>43830</v>
      </c>
      <c r="J321" s="36" t="s">
        <v>654</v>
      </c>
      <c r="K321" s="119"/>
      <c r="L321" s="102"/>
      <c r="M321" s="117"/>
      <c r="N321" s="102"/>
      <c r="O321" s="102"/>
      <c r="P321" s="101"/>
      <c r="Q321" s="101"/>
      <c r="R321" s="102"/>
      <c r="S321" s="106"/>
      <c r="T321" s="106"/>
      <c r="U321" s="107"/>
      <c r="V321" s="117"/>
      <c r="W321" s="102"/>
      <c r="X321" s="102"/>
      <c r="Y321" s="101"/>
      <c r="Z321" s="101"/>
      <c r="AA321" s="102"/>
      <c r="AB321" s="106"/>
      <c r="AC321" s="106"/>
      <c r="AD321" s="107"/>
      <c r="AE321" s="117"/>
      <c r="AF321" s="102"/>
      <c r="AG321" s="102"/>
      <c r="AH321" s="101"/>
      <c r="AI321" s="101"/>
      <c r="AJ321" s="102"/>
      <c r="AK321" s="106"/>
      <c r="AL321" s="106"/>
    </row>
    <row r="322" spans="1:38" ht="49.5" customHeight="1" x14ac:dyDescent="0.25">
      <c r="A322" s="94" t="s">
        <v>39</v>
      </c>
      <c r="B322" s="95" t="s">
        <v>650</v>
      </c>
      <c r="C322" s="95">
        <v>70</v>
      </c>
      <c r="D322" s="95" t="s">
        <v>674</v>
      </c>
      <c r="E322" s="95">
        <v>0</v>
      </c>
      <c r="F322" s="102" t="s">
        <v>675</v>
      </c>
      <c r="G322" s="81" t="s">
        <v>676</v>
      </c>
      <c r="H322" s="12">
        <v>43525</v>
      </c>
      <c r="I322" s="11">
        <v>43830</v>
      </c>
      <c r="J322" s="35" t="s">
        <v>654</v>
      </c>
      <c r="K322" s="119" t="s">
        <v>574</v>
      </c>
      <c r="L322" s="102" t="s">
        <v>677</v>
      </c>
      <c r="M322" s="117" t="s">
        <v>678</v>
      </c>
      <c r="N322" s="102" t="s">
        <v>704</v>
      </c>
      <c r="O322" s="102" t="s">
        <v>704</v>
      </c>
      <c r="P322" s="101" t="str">
        <f>IFERROR((0%/0%),"No aplica")</f>
        <v>No aplica</v>
      </c>
      <c r="Q322" s="101">
        <f>IFERROR((0%/100%),"No aplica")</f>
        <v>0</v>
      </c>
      <c r="R322" s="102" t="s">
        <v>697</v>
      </c>
      <c r="S322" s="106" t="s">
        <v>700</v>
      </c>
      <c r="T322" s="106" t="s">
        <v>75</v>
      </c>
      <c r="U322" s="107" t="s">
        <v>710</v>
      </c>
      <c r="V322" s="117" t="s">
        <v>678</v>
      </c>
      <c r="W322" s="102" t="s">
        <v>709</v>
      </c>
      <c r="X322" s="102" t="s">
        <v>709</v>
      </c>
      <c r="Y322" s="101">
        <f>IFERROR((5%/5%),"No aplica")</f>
        <v>1</v>
      </c>
      <c r="Z322" s="101">
        <f>IFERROR((5%/100%),"No aplica")</f>
        <v>0.05</v>
      </c>
      <c r="AA322" s="102" t="s">
        <v>692</v>
      </c>
      <c r="AB322" s="106" t="s">
        <v>708</v>
      </c>
      <c r="AC322" s="106" t="s">
        <v>707</v>
      </c>
      <c r="AD322" s="107" t="s">
        <v>706</v>
      </c>
      <c r="AE322" s="117" t="s">
        <v>678</v>
      </c>
      <c r="AF322" s="102" t="s">
        <v>705</v>
      </c>
      <c r="AG322" s="102" t="s">
        <v>704</v>
      </c>
      <c r="AH322" s="101">
        <f>IFERROR((0%/55%),"No aplica")</f>
        <v>0</v>
      </c>
      <c r="AI322" s="101">
        <f>IFERROR(((0%+5%+0%)/100%),"No aplica")</f>
        <v>0.05</v>
      </c>
      <c r="AJ322" s="102" t="s">
        <v>703</v>
      </c>
      <c r="AK322" s="106" t="s">
        <v>702</v>
      </c>
      <c r="AL322" s="106" t="s">
        <v>701</v>
      </c>
    </row>
    <row r="323" spans="1:38" ht="49.5" customHeight="1" x14ac:dyDescent="0.25">
      <c r="A323" s="94"/>
      <c r="B323" s="95"/>
      <c r="C323" s="95"/>
      <c r="D323" s="95"/>
      <c r="E323" s="95"/>
      <c r="F323" s="102"/>
      <c r="G323" s="85" t="s">
        <v>679</v>
      </c>
      <c r="H323" s="12">
        <v>43525</v>
      </c>
      <c r="I323" s="11">
        <v>43830</v>
      </c>
      <c r="J323" s="35" t="s">
        <v>654</v>
      </c>
      <c r="K323" s="119"/>
      <c r="L323" s="102"/>
      <c r="M323" s="117"/>
      <c r="N323" s="102"/>
      <c r="O323" s="102"/>
      <c r="P323" s="101"/>
      <c r="Q323" s="101"/>
      <c r="R323" s="102"/>
      <c r="S323" s="106"/>
      <c r="T323" s="106"/>
      <c r="U323" s="107"/>
      <c r="V323" s="117"/>
      <c r="W323" s="102"/>
      <c r="X323" s="102"/>
      <c r="Y323" s="101"/>
      <c r="Z323" s="101"/>
      <c r="AA323" s="102"/>
      <c r="AB323" s="106"/>
      <c r="AC323" s="106"/>
      <c r="AD323" s="107"/>
      <c r="AE323" s="117"/>
      <c r="AF323" s="102"/>
      <c r="AG323" s="102"/>
      <c r="AH323" s="101"/>
      <c r="AI323" s="101"/>
      <c r="AJ323" s="102"/>
      <c r="AK323" s="106"/>
      <c r="AL323" s="106"/>
    </row>
    <row r="324" spans="1:38" ht="30.75" customHeight="1" x14ac:dyDescent="0.25">
      <c r="A324" s="94" t="s">
        <v>39</v>
      </c>
      <c r="B324" s="95" t="s">
        <v>650</v>
      </c>
      <c r="C324" s="102">
        <v>71</v>
      </c>
      <c r="D324" s="102" t="s">
        <v>680</v>
      </c>
      <c r="E324" s="102">
        <v>0</v>
      </c>
      <c r="F324" s="102" t="s">
        <v>681</v>
      </c>
      <c r="G324" s="10" t="s">
        <v>682</v>
      </c>
      <c r="H324" s="11">
        <v>43647</v>
      </c>
      <c r="I324" s="11">
        <v>43676</v>
      </c>
      <c r="J324" s="35" t="s">
        <v>654</v>
      </c>
      <c r="K324" s="97" t="s">
        <v>574</v>
      </c>
      <c r="L324" s="95" t="s">
        <v>655</v>
      </c>
      <c r="M324" s="117" t="s">
        <v>683</v>
      </c>
      <c r="N324" s="102" t="s">
        <v>698</v>
      </c>
      <c r="O324" s="102" t="s">
        <v>698</v>
      </c>
      <c r="P324" s="101" t="str">
        <f>IFERROR((0/0),"No aplica")</f>
        <v>No aplica</v>
      </c>
      <c r="Q324" s="101">
        <f>IFERROR((0/1),"No aplica")</f>
        <v>0</v>
      </c>
      <c r="R324" s="102" t="s">
        <v>697</v>
      </c>
      <c r="S324" s="106" t="s">
        <v>700</v>
      </c>
      <c r="T324" s="106" t="s">
        <v>75</v>
      </c>
      <c r="U324" s="107" t="s">
        <v>699</v>
      </c>
      <c r="V324" s="117" t="s">
        <v>683</v>
      </c>
      <c r="W324" s="102" t="s">
        <v>698</v>
      </c>
      <c r="X324" s="102" t="s">
        <v>698</v>
      </c>
      <c r="Y324" s="101" t="str">
        <f>IFERROR((0/0),"No aplica")</f>
        <v>No aplica</v>
      </c>
      <c r="Z324" s="101">
        <f>IFERROR((0/1),"No aplica")</f>
        <v>0</v>
      </c>
      <c r="AA324" s="102" t="s">
        <v>697</v>
      </c>
      <c r="AB324" s="106" t="s">
        <v>696</v>
      </c>
      <c r="AC324" s="106" t="s">
        <v>695</v>
      </c>
      <c r="AD324" s="107" t="s">
        <v>694</v>
      </c>
      <c r="AE324" s="117" t="s">
        <v>683</v>
      </c>
      <c r="AF324" s="102" t="s">
        <v>693</v>
      </c>
      <c r="AG324" s="102" t="s">
        <v>693</v>
      </c>
      <c r="AH324" s="101">
        <f>IFERROR((1/1),"No aplica")</f>
        <v>1</v>
      </c>
      <c r="AI324" s="101">
        <f>IFERROR((1/1),"No aplica")</f>
        <v>1</v>
      </c>
      <c r="AJ324" s="102" t="s">
        <v>692</v>
      </c>
      <c r="AK324" s="106" t="s">
        <v>691</v>
      </c>
      <c r="AL324" s="106" t="s">
        <v>690</v>
      </c>
    </row>
    <row r="325" spans="1:38" ht="23.25" customHeight="1" x14ac:dyDescent="0.25">
      <c r="A325" s="94"/>
      <c r="B325" s="95"/>
      <c r="C325" s="102"/>
      <c r="D325" s="102"/>
      <c r="E325" s="102"/>
      <c r="F325" s="102"/>
      <c r="G325" s="10" t="s">
        <v>684</v>
      </c>
      <c r="H325" s="11">
        <v>43678</v>
      </c>
      <c r="I325" s="11">
        <v>43738</v>
      </c>
      <c r="J325" s="35" t="s">
        <v>654</v>
      </c>
      <c r="K325" s="97"/>
      <c r="L325" s="95"/>
      <c r="M325" s="117"/>
      <c r="N325" s="102"/>
      <c r="O325" s="102"/>
      <c r="P325" s="101"/>
      <c r="Q325" s="101"/>
      <c r="R325" s="102"/>
      <c r="S325" s="106"/>
      <c r="T325" s="106"/>
      <c r="U325" s="107"/>
      <c r="V325" s="117"/>
      <c r="W325" s="102"/>
      <c r="X325" s="102"/>
      <c r="Y325" s="101"/>
      <c r="Z325" s="101"/>
      <c r="AA325" s="102"/>
      <c r="AB325" s="106"/>
      <c r="AC325" s="106"/>
      <c r="AD325" s="107"/>
      <c r="AE325" s="117"/>
      <c r="AF325" s="102"/>
      <c r="AG325" s="102"/>
      <c r="AH325" s="101"/>
      <c r="AI325" s="101"/>
      <c r="AJ325" s="102"/>
      <c r="AK325" s="106"/>
      <c r="AL325" s="106"/>
    </row>
    <row r="326" spans="1:38" ht="16.5" thickBot="1" x14ac:dyDescent="0.3">
      <c r="A326" s="162"/>
      <c r="B326" s="163"/>
      <c r="C326" s="164"/>
      <c r="D326" s="164"/>
      <c r="E326" s="164"/>
      <c r="F326" s="164"/>
      <c r="G326" s="24" t="s">
        <v>685</v>
      </c>
      <c r="H326" s="25">
        <v>43739</v>
      </c>
      <c r="I326" s="25">
        <v>43799</v>
      </c>
      <c r="J326" s="34" t="s">
        <v>654</v>
      </c>
      <c r="K326" s="169"/>
      <c r="L326" s="163"/>
      <c r="M326" s="168"/>
      <c r="N326" s="164"/>
      <c r="O326" s="164"/>
      <c r="P326" s="165"/>
      <c r="Q326" s="165"/>
      <c r="R326" s="164"/>
      <c r="S326" s="166"/>
      <c r="T326" s="166"/>
      <c r="U326" s="167"/>
      <c r="V326" s="168"/>
      <c r="W326" s="164"/>
      <c r="X326" s="164"/>
      <c r="Y326" s="165"/>
      <c r="Z326" s="165"/>
      <c r="AA326" s="164"/>
      <c r="AB326" s="166"/>
      <c r="AC326" s="166"/>
      <c r="AD326" s="167"/>
      <c r="AE326" s="168"/>
      <c r="AF326" s="164"/>
      <c r="AG326" s="164"/>
      <c r="AH326" s="165"/>
      <c r="AI326" s="165"/>
      <c r="AJ326" s="164"/>
      <c r="AK326" s="166"/>
      <c r="AL326" s="166"/>
    </row>
    <row r="327" spans="1:38" ht="15.75" customHeight="1" x14ac:dyDescent="0.25">
      <c r="A327" s="26"/>
      <c r="B327" s="27"/>
      <c r="C327" s="27"/>
      <c r="D327" s="27"/>
      <c r="E327" s="27"/>
      <c r="F327" s="27"/>
      <c r="G327" s="26"/>
      <c r="H327" s="28"/>
      <c r="I327" s="28"/>
      <c r="J327" s="26"/>
      <c r="K327" s="29"/>
      <c r="L327" s="26"/>
      <c r="M327" s="27"/>
      <c r="N327" s="27"/>
      <c r="O327" s="27"/>
      <c r="P327" s="27"/>
      <c r="Q327" s="27"/>
      <c r="R327" s="27"/>
      <c r="S327" s="27"/>
      <c r="T327" s="33"/>
      <c r="U327" s="33"/>
      <c r="V327" s="27"/>
      <c r="W327" s="27"/>
      <c r="X327" s="27"/>
      <c r="Y327" s="27"/>
      <c r="Z327" s="27"/>
      <c r="AA327" s="27"/>
      <c r="AB327" s="27"/>
      <c r="AC327" s="33"/>
      <c r="AD327" s="33"/>
    </row>
    <row r="328" spans="1:38" x14ac:dyDescent="0.25">
      <c r="A328" s="26"/>
      <c r="B328" s="27"/>
      <c r="C328" s="27"/>
      <c r="D328" s="27"/>
      <c r="E328" s="27"/>
      <c r="F328" s="27"/>
      <c r="G328" s="26"/>
      <c r="H328" s="28"/>
      <c r="I328" s="28"/>
      <c r="J328" s="26"/>
      <c r="K328" s="29"/>
      <c r="L328" s="26"/>
      <c r="M328" s="27"/>
      <c r="N328" s="27"/>
      <c r="O328" s="27"/>
      <c r="P328" s="27"/>
      <c r="Q328" s="27"/>
      <c r="R328" s="27"/>
      <c r="S328" s="27"/>
      <c r="T328" s="33"/>
      <c r="U328" s="33"/>
      <c r="V328" s="27"/>
      <c r="W328" s="27"/>
      <c r="X328" s="27"/>
      <c r="Y328" s="27"/>
      <c r="Z328" s="27"/>
      <c r="AA328" s="27"/>
      <c r="AB328" s="27"/>
      <c r="AC328" s="33"/>
      <c r="AD328" s="33"/>
    </row>
    <row r="329" spans="1:38" x14ac:dyDescent="0.25">
      <c r="A329" s="26"/>
      <c r="B329" s="27"/>
      <c r="C329" s="27"/>
      <c r="D329" s="27"/>
      <c r="E329" s="27"/>
      <c r="F329" s="27"/>
      <c r="G329" s="26"/>
      <c r="H329" s="28"/>
      <c r="I329" s="28"/>
      <c r="J329" s="26"/>
      <c r="K329" s="29"/>
      <c r="L329" s="26"/>
      <c r="M329" s="27"/>
      <c r="N329" s="27"/>
      <c r="O329" s="27"/>
      <c r="P329" s="27"/>
      <c r="Q329" s="27"/>
      <c r="R329" s="27"/>
      <c r="S329" s="27"/>
      <c r="T329" s="33"/>
      <c r="U329" s="33"/>
      <c r="V329" s="27"/>
      <c r="W329" s="27"/>
      <c r="X329" s="27"/>
      <c r="Y329" s="27"/>
      <c r="Z329" s="27"/>
      <c r="AA329" s="27"/>
      <c r="AB329" s="27"/>
      <c r="AC329" s="33"/>
      <c r="AD329" s="33"/>
    </row>
    <row r="330" spans="1:38" x14ac:dyDescent="0.25">
      <c r="A330" s="26"/>
      <c r="B330" s="27"/>
      <c r="C330" s="27"/>
      <c r="D330" s="27"/>
      <c r="E330" s="27"/>
      <c r="F330" s="27"/>
      <c r="G330" s="26"/>
      <c r="H330" s="28"/>
      <c r="I330" s="28"/>
      <c r="J330" s="26"/>
      <c r="K330" s="29"/>
      <c r="L330" s="26"/>
      <c r="M330" s="27"/>
      <c r="N330" s="27"/>
      <c r="O330" s="27"/>
      <c r="P330" s="27"/>
      <c r="Q330" s="27"/>
      <c r="R330" s="27"/>
      <c r="S330" s="27"/>
      <c r="T330" s="33"/>
      <c r="U330" s="33"/>
      <c r="V330" s="27"/>
      <c r="W330" s="27"/>
      <c r="X330" s="27"/>
      <c r="Y330" s="27"/>
      <c r="Z330" s="27"/>
      <c r="AA330" s="27"/>
      <c r="AB330" s="27"/>
      <c r="AC330" s="33"/>
      <c r="AD330" s="33"/>
    </row>
    <row r="331" spans="1:38" x14ac:dyDescent="0.25">
      <c r="A331" s="26"/>
      <c r="B331" s="27"/>
      <c r="C331" s="27"/>
      <c r="D331" s="27"/>
      <c r="E331" s="27"/>
      <c r="F331" s="27"/>
      <c r="G331" s="26"/>
      <c r="H331" s="28"/>
      <c r="I331" s="28"/>
      <c r="J331" s="26"/>
      <c r="K331" s="29"/>
      <c r="L331" s="26"/>
      <c r="M331" s="27"/>
      <c r="N331" s="27"/>
      <c r="O331" s="27"/>
      <c r="P331" s="27"/>
      <c r="Q331" s="27"/>
      <c r="R331" s="27"/>
      <c r="S331" s="27"/>
      <c r="T331" s="33"/>
      <c r="U331" s="33"/>
      <c r="V331" s="27"/>
      <c r="W331" s="27"/>
      <c r="X331" s="27"/>
      <c r="Y331" s="27"/>
      <c r="Z331" s="27"/>
      <c r="AA331" s="27"/>
      <c r="AB331" s="27"/>
      <c r="AC331" s="33"/>
      <c r="AD331" s="33"/>
    </row>
    <row r="332" spans="1:38" x14ac:dyDescent="0.25">
      <c r="A332" s="26"/>
      <c r="B332" s="27"/>
      <c r="C332" s="27"/>
      <c r="D332" s="27"/>
      <c r="E332" s="27"/>
      <c r="F332" s="27"/>
      <c r="G332" s="26"/>
      <c r="H332" s="28"/>
      <c r="I332" s="28"/>
      <c r="J332" s="26"/>
      <c r="K332" s="29"/>
      <c r="L332" s="26"/>
      <c r="M332" s="27"/>
      <c r="N332" s="27"/>
      <c r="O332" s="27"/>
      <c r="P332" s="27"/>
      <c r="Q332" s="27"/>
      <c r="R332" s="27"/>
      <c r="S332" s="27"/>
      <c r="T332" s="33"/>
      <c r="U332" s="33"/>
      <c r="V332" s="27"/>
      <c r="W332" s="27"/>
      <c r="X332" s="27"/>
      <c r="Y332" s="27"/>
      <c r="Z332" s="27"/>
      <c r="AA332" s="27"/>
      <c r="AB332" s="27"/>
      <c r="AC332" s="33"/>
      <c r="AD332" s="33"/>
    </row>
    <row r="333" spans="1:38" x14ac:dyDescent="0.25">
      <c r="A333" s="26"/>
      <c r="B333" s="27"/>
      <c r="C333" s="27"/>
      <c r="D333" s="27"/>
      <c r="E333" s="27"/>
      <c r="F333" s="27"/>
      <c r="G333" s="26"/>
      <c r="H333" s="28"/>
      <c r="I333" s="28"/>
      <c r="J333" s="26"/>
      <c r="K333" s="30"/>
      <c r="L333" s="26"/>
      <c r="M333" s="27"/>
      <c r="N333" s="27"/>
      <c r="O333" s="27"/>
      <c r="P333" s="27"/>
      <c r="Q333" s="27"/>
      <c r="R333" s="27"/>
      <c r="S333" s="27"/>
      <c r="T333" s="33"/>
      <c r="U333" s="33"/>
      <c r="V333" s="27"/>
      <c r="W333" s="27"/>
      <c r="X333" s="27"/>
      <c r="Y333" s="27"/>
      <c r="Z333" s="27"/>
      <c r="AA333" s="27"/>
      <c r="AB333" s="27"/>
      <c r="AC333" s="33"/>
      <c r="AD333" s="33"/>
    </row>
    <row r="334" spans="1:38" x14ac:dyDescent="0.25">
      <c r="A334" s="26"/>
      <c r="B334" s="27"/>
      <c r="C334" s="27"/>
      <c r="D334" s="27"/>
      <c r="E334" s="27"/>
      <c r="F334" s="27"/>
      <c r="G334" s="26"/>
      <c r="H334" s="28"/>
      <c r="I334" s="28"/>
      <c r="J334" s="26"/>
      <c r="K334" s="30"/>
      <c r="L334" s="26"/>
      <c r="M334" s="27"/>
      <c r="N334" s="27"/>
      <c r="O334" s="27"/>
      <c r="P334" s="27"/>
      <c r="Q334" s="27"/>
      <c r="R334" s="27"/>
      <c r="S334" s="27"/>
      <c r="T334" s="33"/>
      <c r="U334" s="33"/>
      <c r="V334" s="27"/>
      <c r="W334" s="27"/>
      <c r="X334" s="27"/>
      <c r="Y334" s="27"/>
      <c r="Z334" s="27"/>
      <c r="AA334" s="27"/>
      <c r="AB334" s="27"/>
      <c r="AC334" s="33"/>
      <c r="AD334" s="33"/>
    </row>
    <row r="335" spans="1:38" x14ac:dyDescent="0.25">
      <c r="A335" s="26"/>
      <c r="B335" s="27"/>
      <c r="C335" s="27"/>
      <c r="D335" s="27"/>
      <c r="E335" s="27"/>
      <c r="F335" s="27"/>
      <c r="G335" s="26"/>
      <c r="H335" s="28"/>
      <c r="I335" s="28"/>
      <c r="J335" s="26"/>
      <c r="K335" s="30"/>
      <c r="L335" s="26"/>
      <c r="M335" s="27"/>
      <c r="N335" s="27"/>
      <c r="O335" s="27"/>
      <c r="P335" s="27"/>
      <c r="Q335" s="27"/>
      <c r="R335" s="27"/>
      <c r="S335" s="27"/>
      <c r="T335" s="33"/>
      <c r="U335" s="33"/>
      <c r="V335" s="27"/>
      <c r="W335" s="27"/>
      <c r="X335" s="27"/>
      <c r="Y335" s="27"/>
      <c r="Z335" s="27"/>
      <c r="AA335" s="27"/>
      <c r="AB335" s="27"/>
      <c r="AC335" s="33"/>
      <c r="AD335" s="33"/>
    </row>
    <row r="336" spans="1:38" x14ac:dyDescent="0.25">
      <c r="A336" s="26"/>
      <c r="B336" s="27"/>
      <c r="C336" s="27"/>
      <c r="D336" s="27"/>
      <c r="E336" s="27"/>
      <c r="F336" s="27"/>
      <c r="G336" s="26"/>
      <c r="H336" s="28"/>
      <c r="I336" s="28"/>
      <c r="J336" s="26"/>
      <c r="K336" s="30"/>
      <c r="L336" s="26"/>
      <c r="M336" s="27"/>
      <c r="N336" s="27"/>
      <c r="O336" s="27"/>
      <c r="P336" s="27"/>
      <c r="Q336" s="27"/>
      <c r="R336" s="27"/>
      <c r="S336" s="27"/>
      <c r="T336" s="33"/>
      <c r="U336" s="33"/>
      <c r="V336" s="27"/>
      <c r="W336" s="27"/>
      <c r="X336" s="27"/>
      <c r="Y336" s="27"/>
      <c r="Z336" s="27"/>
      <c r="AA336" s="27"/>
      <c r="AB336" s="27"/>
      <c r="AC336" s="33"/>
      <c r="AD336" s="33"/>
    </row>
    <row r="337" spans="1:30" x14ac:dyDescent="0.25">
      <c r="A337" s="26"/>
      <c r="B337" s="27"/>
      <c r="C337" s="27"/>
      <c r="D337" s="27"/>
      <c r="E337" s="27"/>
      <c r="F337" s="27"/>
      <c r="G337" s="26"/>
      <c r="H337" s="28"/>
      <c r="I337" s="28"/>
      <c r="J337" s="26"/>
      <c r="K337" s="30"/>
      <c r="L337" s="26"/>
      <c r="M337" s="27"/>
      <c r="N337" s="27"/>
      <c r="O337" s="27"/>
      <c r="P337" s="27"/>
      <c r="Q337" s="27"/>
      <c r="R337" s="27"/>
      <c r="S337" s="27"/>
      <c r="T337" s="33"/>
      <c r="U337" s="33"/>
      <c r="V337" s="27"/>
      <c r="W337" s="27"/>
      <c r="X337" s="27"/>
      <c r="Y337" s="27"/>
      <c r="Z337" s="27"/>
      <c r="AA337" s="27"/>
      <c r="AB337" s="27"/>
      <c r="AC337" s="33"/>
      <c r="AD337" s="33"/>
    </row>
    <row r="338" spans="1:30" x14ac:dyDescent="0.25">
      <c r="A338" s="26"/>
      <c r="B338" s="27"/>
      <c r="C338" s="27"/>
      <c r="D338" s="27"/>
      <c r="E338" s="27"/>
      <c r="F338" s="27"/>
      <c r="G338" s="26"/>
      <c r="H338" s="28"/>
      <c r="I338" s="28"/>
      <c r="J338" s="26"/>
      <c r="K338" s="30"/>
      <c r="L338" s="26"/>
      <c r="M338" s="27"/>
      <c r="N338" s="27"/>
      <c r="O338" s="27"/>
      <c r="P338" s="27"/>
      <c r="Q338" s="27"/>
      <c r="R338" s="27"/>
      <c r="S338" s="27"/>
      <c r="T338" s="33"/>
      <c r="U338" s="33"/>
      <c r="V338" s="27"/>
      <c r="W338" s="27"/>
      <c r="X338" s="27"/>
      <c r="Y338" s="27"/>
      <c r="Z338" s="27"/>
      <c r="AA338" s="27"/>
      <c r="AB338" s="27"/>
      <c r="AC338" s="33"/>
      <c r="AD338" s="33"/>
    </row>
    <row r="339" spans="1:30" x14ac:dyDescent="0.25">
      <c r="A339" s="26"/>
      <c r="B339" s="27"/>
      <c r="C339" s="27"/>
      <c r="D339" s="27"/>
      <c r="E339" s="27"/>
      <c r="F339" s="27"/>
      <c r="G339" s="26"/>
      <c r="H339" s="28"/>
      <c r="I339" s="28"/>
      <c r="J339" s="26"/>
      <c r="K339" s="30"/>
      <c r="L339" s="26"/>
      <c r="M339" s="27"/>
      <c r="N339" s="27"/>
      <c r="O339" s="27"/>
      <c r="P339" s="27"/>
      <c r="Q339" s="27"/>
      <c r="R339" s="27"/>
      <c r="S339" s="27"/>
      <c r="T339" s="33"/>
      <c r="U339" s="33"/>
      <c r="V339" s="27"/>
      <c r="W339" s="27"/>
      <c r="X339" s="27"/>
      <c r="Y339" s="27"/>
      <c r="Z339" s="27"/>
      <c r="AA339" s="27"/>
      <c r="AB339" s="27"/>
      <c r="AC339" s="33"/>
      <c r="AD339" s="33"/>
    </row>
    <row r="340" spans="1:30" x14ac:dyDescent="0.25">
      <c r="A340" s="26"/>
      <c r="B340" s="27"/>
      <c r="C340" s="27"/>
      <c r="D340" s="27"/>
      <c r="E340" s="27"/>
      <c r="F340" s="27"/>
      <c r="G340" s="26"/>
      <c r="H340" s="28"/>
      <c r="I340" s="28"/>
      <c r="J340" s="26"/>
      <c r="K340" s="30"/>
      <c r="L340" s="26"/>
      <c r="M340" s="27"/>
      <c r="N340" s="27"/>
      <c r="O340" s="27"/>
      <c r="P340" s="27"/>
      <c r="Q340" s="27"/>
      <c r="R340" s="27"/>
      <c r="S340" s="27"/>
      <c r="T340" s="33"/>
      <c r="U340" s="33"/>
      <c r="V340" s="27"/>
      <c r="W340" s="27"/>
      <c r="X340" s="27"/>
      <c r="Y340" s="27"/>
      <c r="Z340" s="27"/>
      <c r="AA340" s="27"/>
      <c r="AB340" s="27"/>
      <c r="AC340" s="33"/>
      <c r="AD340" s="33"/>
    </row>
    <row r="341" spans="1:30" x14ac:dyDescent="0.25">
      <c r="A341" s="26"/>
      <c r="B341" s="27"/>
      <c r="C341" s="27"/>
      <c r="D341" s="27"/>
      <c r="E341" s="27"/>
      <c r="F341" s="27"/>
      <c r="G341" s="26"/>
      <c r="H341" s="28"/>
      <c r="I341" s="28"/>
      <c r="J341" s="26"/>
      <c r="K341" s="30"/>
      <c r="L341" s="26"/>
      <c r="M341" s="27"/>
      <c r="N341" s="27"/>
      <c r="O341" s="27"/>
      <c r="P341" s="27"/>
      <c r="Q341" s="27"/>
      <c r="R341" s="27"/>
      <c r="S341" s="27"/>
      <c r="T341" s="33"/>
      <c r="U341" s="33"/>
      <c r="V341" s="27"/>
      <c r="W341" s="27"/>
      <c r="X341" s="27"/>
      <c r="Y341" s="27"/>
      <c r="Z341" s="27"/>
      <c r="AA341" s="27"/>
      <c r="AB341" s="27"/>
      <c r="AC341" s="33"/>
      <c r="AD341" s="33"/>
    </row>
    <row r="342" spans="1:30" x14ac:dyDescent="0.25">
      <c r="A342" s="26"/>
      <c r="B342" s="27"/>
      <c r="C342" s="27"/>
      <c r="D342" s="27"/>
      <c r="E342" s="27"/>
      <c r="F342" s="27"/>
      <c r="G342" s="26"/>
      <c r="H342" s="28"/>
      <c r="I342" s="28"/>
      <c r="J342" s="26"/>
      <c r="K342" s="30"/>
      <c r="L342" s="26"/>
      <c r="M342" s="27"/>
      <c r="N342" s="27"/>
      <c r="O342" s="27"/>
      <c r="P342" s="27"/>
      <c r="Q342" s="27"/>
      <c r="R342" s="27"/>
      <c r="S342" s="27"/>
      <c r="T342" s="33"/>
      <c r="U342" s="33"/>
      <c r="V342" s="27"/>
      <c r="W342" s="27"/>
      <c r="X342" s="27"/>
      <c r="Y342" s="27"/>
      <c r="Z342" s="27"/>
      <c r="AA342" s="27"/>
      <c r="AB342" s="27"/>
      <c r="AC342" s="33"/>
      <c r="AD342" s="33"/>
    </row>
    <row r="343" spans="1:30" x14ac:dyDescent="0.25">
      <c r="A343" s="26"/>
      <c r="B343" s="27"/>
      <c r="C343" s="27"/>
      <c r="D343" s="27"/>
      <c r="E343" s="27"/>
      <c r="F343" s="27"/>
      <c r="G343" s="26"/>
      <c r="H343" s="28"/>
      <c r="I343" s="28"/>
      <c r="J343" s="26"/>
      <c r="K343" s="30"/>
      <c r="L343" s="26"/>
      <c r="M343" s="27"/>
      <c r="N343" s="27"/>
      <c r="O343" s="27"/>
      <c r="P343" s="27"/>
      <c r="Q343" s="27"/>
      <c r="R343" s="27"/>
      <c r="S343" s="27"/>
      <c r="T343" s="33"/>
      <c r="U343" s="33"/>
      <c r="V343" s="27"/>
      <c r="W343" s="27"/>
      <c r="X343" s="27"/>
      <c r="Y343" s="27"/>
      <c r="Z343" s="27"/>
      <c r="AA343" s="27"/>
      <c r="AB343" s="27"/>
      <c r="AC343" s="33"/>
      <c r="AD343" s="33"/>
    </row>
    <row r="344" spans="1:30" x14ac:dyDescent="0.25">
      <c r="A344" s="26"/>
      <c r="B344" s="27"/>
      <c r="C344" s="27"/>
      <c r="D344" s="27"/>
      <c r="E344" s="27"/>
      <c r="F344" s="27"/>
      <c r="G344" s="26"/>
      <c r="H344" s="28"/>
      <c r="I344" s="28"/>
      <c r="J344" s="26"/>
      <c r="K344" s="30"/>
      <c r="L344" s="26"/>
      <c r="M344" s="27"/>
      <c r="N344" s="27"/>
      <c r="O344" s="27"/>
      <c r="P344" s="27"/>
      <c r="Q344" s="27"/>
      <c r="R344" s="27"/>
      <c r="S344" s="27"/>
      <c r="T344" s="33"/>
      <c r="U344" s="33"/>
      <c r="V344" s="27"/>
      <c r="W344" s="27"/>
      <c r="X344" s="27"/>
      <c r="Y344" s="27"/>
      <c r="Z344" s="27"/>
      <c r="AA344" s="27"/>
      <c r="AB344" s="27"/>
      <c r="AC344" s="33"/>
      <c r="AD344" s="33"/>
    </row>
    <row r="345" spans="1:30" x14ac:dyDescent="0.25">
      <c r="A345" s="26"/>
      <c r="B345" s="27"/>
      <c r="C345" s="27"/>
      <c r="D345" s="27"/>
      <c r="E345" s="27"/>
      <c r="F345" s="27"/>
      <c r="G345" s="26"/>
      <c r="H345" s="28"/>
      <c r="I345" s="28"/>
      <c r="J345" s="26"/>
      <c r="K345" s="30"/>
      <c r="L345" s="26"/>
      <c r="M345" s="27"/>
      <c r="N345" s="27"/>
      <c r="O345" s="27"/>
      <c r="P345" s="27"/>
      <c r="Q345" s="27"/>
      <c r="R345" s="27"/>
      <c r="S345" s="27"/>
      <c r="T345" s="33"/>
      <c r="U345" s="33"/>
      <c r="V345" s="27"/>
      <c r="W345" s="27"/>
      <c r="X345" s="27"/>
      <c r="Y345" s="27"/>
      <c r="Z345" s="27"/>
      <c r="AA345" s="27"/>
      <c r="AB345" s="27"/>
      <c r="AC345" s="33"/>
      <c r="AD345" s="33"/>
    </row>
    <row r="346" spans="1:30" x14ac:dyDescent="0.25">
      <c r="A346" s="26"/>
      <c r="B346" s="27"/>
      <c r="C346" s="27"/>
      <c r="D346" s="27"/>
      <c r="E346" s="27"/>
      <c r="F346" s="27"/>
      <c r="G346" s="26"/>
      <c r="H346" s="28"/>
      <c r="I346" s="28"/>
      <c r="J346" s="26"/>
      <c r="K346" s="30"/>
      <c r="L346" s="26"/>
      <c r="M346" s="27"/>
      <c r="N346" s="27"/>
      <c r="O346" s="27"/>
      <c r="P346" s="27"/>
      <c r="Q346" s="27"/>
      <c r="R346" s="27"/>
      <c r="S346" s="27"/>
      <c r="T346" s="33"/>
      <c r="U346" s="33"/>
      <c r="V346" s="27"/>
      <c r="W346" s="27"/>
      <c r="X346" s="27"/>
      <c r="Y346" s="27"/>
      <c r="Z346" s="27"/>
      <c r="AA346" s="27"/>
      <c r="AB346" s="27"/>
      <c r="AC346" s="33"/>
      <c r="AD346" s="33"/>
    </row>
    <row r="347" spans="1:30" x14ac:dyDescent="0.25">
      <c r="A347" s="26"/>
      <c r="B347" s="27"/>
      <c r="C347" s="27"/>
      <c r="D347" s="27"/>
      <c r="E347" s="27"/>
      <c r="F347" s="27"/>
      <c r="G347" s="26"/>
      <c r="H347" s="28"/>
      <c r="I347" s="28"/>
      <c r="J347" s="26"/>
      <c r="K347" s="30"/>
      <c r="L347" s="26"/>
      <c r="M347" s="27"/>
      <c r="N347" s="27"/>
      <c r="O347" s="27"/>
      <c r="P347" s="27"/>
      <c r="Q347" s="27"/>
      <c r="R347" s="27"/>
      <c r="S347" s="27"/>
      <c r="T347" s="33"/>
      <c r="U347" s="33"/>
      <c r="V347" s="27"/>
      <c r="W347" s="27"/>
      <c r="X347" s="27"/>
      <c r="Y347" s="27"/>
      <c r="Z347" s="27"/>
      <c r="AA347" s="27"/>
      <c r="AB347" s="27"/>
      <c r="AC347" s="33"/>
      <c r="AD347" s="33"/>
    </row>
    <row r="348" spans="1:30" x14ac:dyDescent="0.25">
      <c r="A348" s="26"/>
      <c r="B348" s="27"/>
      <c r="C348" s="27"/>
      <c r="D348" s="27"/>
      <c r="E348" s="27"/>
      <c r="F348" s="27"/>
      <c r="G348" s="26"/>
      <c r="H348" s="28"/>
      <c r="I348" s="28"/>
      <c r="J348" s="26"/>
      <c r="K348" s="30"/>
      <c r="L348" s="26"/>
      <c r="M348" s="27"/>
      <c r="N348" s="27"/>
      <c r="O348" s="27"/>
      <c r="P348" s="27"/>
      <c r="Q348" s="27"/>
      <c r="R348" s="27"/>
      <c r="S348" s="27"/>
      <c r="T348" s="33"/>
      <c r="U348" s="33"/>
      <c r="V348" s="27"/>
      <c r="W348" s="27"/>
      <c r="X348" s="27"/>
      <c r="Y348" s="27"/>
      <c r="Z348" s="27"/>
      <c r="AA348" s="27"/>
      <c r="AB348" s="27"/>
      <c r="AC348" s="33"/>
      <c r="AD348" s="33"/>
    </row>
    <row r="349" spans="1:30" x14ac:dyDescent="0.25">
      <c r="A349" s="26"/>
      <c r="B349" s="27"/>
      <c r="C349" s="27"/>
      <c r="D349" s="27"/>
      <c r="E349" s="27"/>
      <c r="F349" s="27"/>
      <c r="G349" s="26"/>
      <c r="H349" s="28"/>
      <c r="I349" s="28"/>
      <c r="J349" s="26"/>
      <c r="K349" s="30"/>
      <c r="L349" s="26"/>
      <c r="M349" s="27"/>
      <c r="N349" s="27"/>
      <c r="O349" s="27"/>
      <c r="P349" s="27"/>
      <c r="Q349" s="27"/>
      <c r="R349" s="27"/>
      <c r="S349" s="27"/>
      <c r="T349" s="33"/>
      <c r="U349" s="33"/>
      <c r="V349" s="27"/>
      <c r="W349" s="27"/>
      <c r="X349" s="27"/>
      <c r="Y349" s="27"/>
      <c r="Z349" s="27"/>
      <c r="AA349" s="27"/>
      <c r="AB349" s="27"/>
      <c r="AC349" s="33"/>
      <c r="AD349" s="33"/>
    </row>
    <row r="350" spans="1:30" x14ac:dyDescent="0.25">
      <c r="A350" s="26"/>
      <c r="B350" s="27"/>
      <c r="C350" s="27"/>
      <c r="D350" s="27"/>
      <c r="E350" s="27"/>
      <c r="F350" s="27"/>
      <c r="G350" s="26"/>
      <c r="H350" s="28"/>
      <c r="I350" s="28"/>
      <c r="J350" s="26"/>
      <c r="K350" s="30"/>
      <c r="L350" s="26"/>
      <c r="M350" s="27"/>
      <c r="N350" s="27"/>
      <c r="O350" s="27"/>
      <c r="P350" s="27"/>
      <c r="Q350" s="27"/>
      <c r="R350" s="27"/>
      <c r="S350" s="27"/>
      <c r="T350" s="33"/>
      <c r="U350" s="33"/>
      <c r="V350" s="27"/>
      <c r="W350" s="27"/>
      <c r="X350" s="27"/>
      <c r="Y350" s="27"/>
      <c r="Z350" s="27"/>
      <c r="AA350" s="27"/>
      <c r="AB350" s="27"/>
      <c r="AC350" s="33"/>
      <c r="AD350" s="33"/>
    </row>
    <row r="351" spans="1:30" x14ac:dyDescent="0.25">
      <c r="A351" s="26"/>
      <c r="B351" s="27"/>
      <c r="C351" s="27"/>
      <c r="D351" s="27"/>
      <c r="E351" s="27"/>
      <c r="F351" s="27"/>
      <c r="G351" s="26"/>
      <c r="H351" s="28"/>
      <c r="I351" s="28"/>
      <c r="J351" s="26"/>
      <c r="K351" s="30"/>
      <c r="L351" s="26"/>
      <c r="M351" s="27"/>
      <c r="N351" s="27"/>
      <c r="O351" s="27"/>
      <c r="P351" s="27"/>
      <c r="Q351" s="27"/>
      <c r="R351" s="27"/>
      <c r="S351" s="27"/>
      <c r="T351" s="33"/>
      <c r="U351" s="33"/>
      <c r="V351" s="27"/>
      <c r="W351" s="27"/>
      <c r="X351" s="27"/>
      <c r="Y351" s="27"/>
      <c r="Z351" s="27"/>
      <c r="AA351" s="27"/>
      <c r="AB351" s="27"/>
      <c r="AC351" s="33"/>
      <c r="AD351" s="33"/>
    </row>
    <row r="352" spans="1:30" x14ac:dyDescent="0.25">
      <c r="A352" s="26"/>
      <c r="B352" s="27"/>
      <c r="C352" s="27"/>
      <c r="D352" s="27"/>
      <c r="E352" s="27"/>
      <c r="F352" s="27"/>
      <c r="G352" s="26"/>
      <c r="H352" s="28"/>
      <c r="I352" s="28"/>
      <c r="J352" s="26"/>
      <c r="K352" s="30"/>
      <c r="L352" s="26"/>
      <c r="M352" s="27"/>
      <c r="N352" s="27"/>
      <c r="O352" s="27"/>
      <c r="P352" s="27"/>
      <c r="Q352" s="27"/>
      <c r="R352" s="27"/>
      <c r="S352" s="27"/>
      <c r="T352" s="33"/>
      <c r="U352" s="33"/>
      <c r="V352" s="27"/>
      <c r="W352" s="27"/>
      <c r="X352" s="27"/>
      <c r="Y352" s="27"/>
      <c r="Z352" s="27"/>
      <c r="AA352" s="27"/>
      <c r="AB352" s="27"/>
      <c r="AC352" s="33"/>
      <c r="AD352" s="33"/>
    </row>
    <row r="353" spans="1:30" x14ac:dyDescent="0.25">
      <c r="A353" s="26"/>
      <c r="B353" s="27"/>
      <c r="C353" s="27"/>
      <c r="D353" s="27"/>
      <c r="E353" s="27"/>
      <c r="F353" s="27"/>
      <c r="G353" s="26"/>
      <c r="H353" s="28"/>
      <c r="I353" s="28"/>
      <c r="J353" s="26"/>
      <c r="K353" s="30"/>
      <c r="L353" s="26"/>
      <c r="M353" s="27"/>
      <c r="N353" s="27"/>
      <c r="O353" s="27"/>
      <c r="P353" s="27"/>
      <c r="Q353" s="27"/>
      <c r="R353" s="27"/>
      <c r="S353" s="27"/>
      <c r="T353" s="33"/>
      <c r="U353" s="33"/>
      <c r="V353" s="27"/>
      <c r="W353" s="27"/>
      <c r="X353" s="27"/>
      <c r="Y353" s="27"/>
      <c r="Z353" s="27"/>
      <c r="AA353" s="27"/>
      <c r="AB353" s="27"/>
      <c r="AC353" s="33"/>
      <c r="AD353" s="33"/>
    </row>
    <row r="354" spans="1:30" x14ac:dyDescent="0.25">
      <c r="A354" s="30"/>
      <c r="G354" s="30"/>
      <c r="J354" s="30"/>
      <c r="K354" s="30"/>
      <c r="L354" s="30"/>
      <c r="T354" s="32"/>
      <c r="U354" s="32"/>
      <c r="AC354" s="32"/>
      <c r="AD354" s="32"/>
    </row>
    <row r="355" spans="1:30" x14ac:dyDescent="0.25">
      <c r="A355" s="30"/>
      <c r="G355" s="30"/>
      <c r="J355" s="30"/>
      <c r="K355" s="30"/>
      <c r="L355" s="30"/>
      <c r="T355" s="32"/>
      <c r="U355" s="32"/>
      <c r="AC355" s="32"/>
      <c r="AD355" s="32"/>
    </row>
    <row r="356" spans="1:30" x14ac:dyDescent="0.25">
      <c r="A356" s="30"/>
      <c r="G356" s="30"/>
      <c r="J356" s="30"/>
      <c r="K356" s="30"/>
      <c r="L356" s="30"/>
      <c r="T356" s="32"/>
      <c r="U356" s="32"/>
      <c r="AC356" s="32"/>
      <c r="AD356" s="32"/>
    </row>
    <row r="357" spans="1:30" x14ac:dyDescent="0.25">
      <c r="A357" s="30"/>
      <c r="G357" s="30"/>
      <c r="J357" s="30"/>
      <c r="K357" s="30"/>
      <c r="L357" s="30"/>
      <c r="T357" s="32"/>
      <c r="U357" s="32"/>
      <c r="AC357" s="32"/>
      <c r="AD357" s="32"/>
    </row>
    <row r="358" spans="1:30" x14ac:dyDescent="0.25">
      <c r="A358" s="30"/>
      <c r="G358" s="30"/>
      <c r="J358" s="30"/>
      <c r="K358" s="30"/>
      <c r="L358" s="30"/>
      <c r="T358" s="32"/>
      <c r="U358" s="32"/>
      <c r="AC358" s="32"/>
      <c r="AD358" s="32"/>
    </row>
    <row r="359" spans="1:30" x14ac:dyDescent="0.25">
      <c r="A359" s="30"/>
      <c r="G359" s="30"/>
      <c r="J359" s="30"/>
      <c r="K359" s="30"/>
      <c r="L359" s="30"/>
      <c r="T359" s="32"/>
      <c r="U359" s="32"/>
      <c r="AC359" s="32"/>
      <c r="AD359" s="32"/>
    </row>
    <row r="360" spans="1:30" x14ac:dyDescent="0.25">
      <c r="A360" s="30"/>
      <c r="G360" s="30"/>
      <c r="J360" s="30"/>
      <c r="K360" s="30"/>
      <c r="L360" s="30"/>
      <c r="T360" s="32"/>
      <c r="U360" s="32"/>
      <c r="AC360" s="32"/>
      <c r="AD360" s="32"/>
    </row>
    <row r="361" spans="1:30" x14ac:dyDescent="0.25">
      <c r="A361" s="30"/>
      <c r="G361" s="30"/>
      <c r="J361" s="30"/>
      <c r="K361" s="30"/>
      <c r="L361" s="30"/>
      <c r="T361" s="32"/>
      <c r="U361" s="32"/>
      <c r="AC361" s="32"/>
      <c r="AD361" s="32"/>
    </row>
    <row r="362" spans="1:30" x14ac:dyDescent="0.25">
      <c r="A362" s="30"/>
      <c r="G362" s="30"/>
      <c r="J362" s="30"/>
      <c r="K362" s="30"/>
      <c r="L362" s="30"/>
      <c r="T362" s="32"/>
      <c r="U362" s="32"/>
      <c r="AC362" s="32"/>
      <c r="AD362" s="32"/>
    </row>
    <row r="363" spans="1:30" x14ac:dyDescent="0.25">
      <c r="A363" s="30"/>
      <c r="G363" s="30"/>
      <c r="J363" s="30"/>
      <c r="K363" s="30"/>
      <c r="L363" s="30"/>
      <c r="T363" s="32"/>
      <c r="U363" s="32"/>
      <c r="AC363" s="32"/>
      <c r="AD363" s="32"/>
    </row>
    <row r="364" spans="1:30" x14ac:dyDescent="0.25">
      <c r="T364" s="32"/>
      <c r="U364" s="32"/>
      <c r="AC364" s="32"/>
      <c r="AD364" s="32"/>
    </row>
    <row r="365" spans="1:30" x14ac:dyDescent="0.25">
      <c r="T365" s="32"/>
      <c r="U365" s="32"/>
      <c r="AC365" s="32"/>
      <c r="AD365" s="32"/>
    </row>
    <row r="366" spans="1:30" x14ac:dyDescent="0.25">
      <c r="T366" s="32"/>
      <c r="U366" s="32"/>
      <c r="AC366" s="32"/>
      <c r="AD366" s="32"/>
    </row>
    <row r="367" spans="1:30" x14ac:dyDescent="0.25">
      <c r="T367" s="32"/>
      <c r="U367" s="32"/>
      <c r="AC367" s="32"/>
      <c r="AD367" s="32"/>
    </row>
    <row r="368" spans="1:30" x14ac:dyDescent="0.25">
      <c r="T368" s="32"/>
      <c r="U368" s="32"/>
      <c r="AC368" s="32"/>
      <c r="AD368" s="32"/>
    </row>
    <row r="369" spans="20:30" x14ac:dyDescent="0.25">
      <c r="T369" s="32"/>
      <c r="U369" s="32"/>
      <c r="AC369" s="32"/>
      <c r="AD369" s="32"/>
    </row>
    <row r="370" spans="20:30" x14ac:dyDescent="0.25">
      <c r="T370" s="32"/>
      <c r="U370" s="32"/>
      <c r="AC370" s="32"/>
      <c r="AD370" s="32"/>
    </row>
    <row r="371" spans="20:30" x14ac:dyDescent="0.25">
      <c r="T371" s="32"/>
      <c r="U371" s="32"/>
      <c r="AC371" s="32"/>
      <c r="AD371" s="32"/>
    </row>
    <row r="372" spans="20:30" x14ac:dyDescent="0.25">
      <c r="T372" s="32"/>
      <c r="U372" s="32"/>
      <c r="AC372" s="32"/>
      <c r="AD372" s="32"/>
    </row>
    <row r="373" spans="20:30" x14ac:dyDescent="0.25">
      <c r="T373" s="32"/>
      <c r="U373" s="32"/>
      <c r="AC373" s="32"/>
      <c r="AD373" s="32"/>
    </row>
    <row r="374" spans="20:30" x14ac:dyDescent="0.25">
      <c r="T374" s="32"/>
      <c r="U374" s="32"/>
      <c r="AC374" s="32"/>
      <c r="AD374" s="32"/>
    </row>
    <row r="375" spans="20:30" x14ac:dyDescent="0.25">
      <c r="T375" s="32"/>
      <c r="U375" s="32"/>
      <c r="AC375" s="32"/>
      <c r="AD375" s="32"/>
    </row>
    <row r="376" spans="20:30" x14ac:dyDescent="0.25">
      <c r="T376" s="32"/>
      <c r="U376" s="32"/>
      <c r="AC376" s="32"/>
      <c r="AD376" s="32"/>
    </row>
    <row r="377" spans="20:30" x14ac:dyDescent="0.25">
      <c r="T377" s="32"/>
      <c r="U377" s="32"/>
      <c r="AC377" s="32"/>
      <c r="AD377" s="32"/>
    </row>
    <row r="378" spans="20:30" x14ac:dyDescent="0.25">
      <c r="T378" s="32"/>
      <c r="U378" s="32"/>
      <c r="AC378" s="32"/>
      <c r="AD378" s="32"/>
    </row>
    <row r="379" spans="20:30" x14ac:dyDescent="0.25">
      <c r="T379" s="32"/>
      <c r="U379" s="32"/>
      <c r="AC379" s="32"/>
      <c r="AD379" s="32"/>
    </row>
    <row r="380" spans="20:30" x14ac:dyDescent="0.25">
      <c r="T380" s="32"/>
      <c r="U380" s="32"/>
      <c r="AC380" s="32"/>
      <c r="AD380" s="32"/>
    </row>
    <row r="381" spans="20:30" x14ac:dyDescent="0.25">
      <c r="T381" s="32"/>
      <c r="U381" s="32"/>
      <c r="AC381" s="32"/>
      <c r="AD381" s="32"/>
    </row>
    <row r="382" spans="20:30" x14ac:dyDescent="0.25">
      <c r="T382" s="32"/>
      <c r="U382" s="32"/>
      <c r="AC382" s="32"/>
      <c r="AD382" s="32"/>
    </row>
    <row r="383" spans="20:30" x14ac:dyDescent="0.25">
      <c r="T383" s="32"/>
      <c r="U383" s="32"/>
      <c r="AC383" s="32"/>
      <c r="AD383" s="32"/>
    </row>
    <row r="384" spans="20:30" x14ac:dyDescent="0.25">
      <c r="T384" s="32"/>
      <c r="U384" s="32"/>
      <c r="AC384" s="32"/>
      <c r="AD384" s="32"/>
    </row>
    <row r="385" spans="20:30" x14ac:dyDescent="0.25">
      <c r="T385" s="32"/>
      <c r="U385" s="32"/>
      <c r="AC385" s="32"/>
      <c r="AD385" s="32"/>
    </row>
    <row r="386" spans="20:30" x14ac:dyDescent="0.25">
      <c r="T386" s="32"/>
      <c r="U386" s="32"/>
      <c r="AC386" s="32"/>
      <c r="AD386" s="32"/>
    </row>
    <row r="387" spans="20:30" x14ac:dyDescent="0.25">
      <c r="T387" s="32"/>
      <c r="U387" s="32"/>
      <c r="AC387" s="32"/>
      <c r="AD387" s="32"/>
    </row>
    <row r="388" spans="20:30" x14ac:dyDescent="0.25">
      <c r="T388" s="32"/>
      <c r="U388" s="32"/>
      <c r="AC388" s="32"/>
      <c r="AD388" s="32"/>
    </row>
    <row r="389" spans="20:30" x14ac:dyDescent="0.25">
      <c r="T389" s="32"/>
      <c r="U389" s="32"/>
      <c r="AC389" s="32"/>
      <c r="AD389" s="32"/>
    </row>
    <row r="390" spans="20:30" x14ac:dyDescent="0.25">
      <c r="T390" s="32"/>
      <c r="U390" s="32"/>
      <c r="AC390" s="32"/>
      <c r="AD390" s="32"/>
    </row>
    <row r="391" spans="20:30" x14ac:dyDescent="0.25">
      <c r="T391" s="32"/>
      <c r="U391" s="32"/>
      <c r="AC391" s="32"/>
      <c r="AD391" s="32"/>
    </row>
    <row r="392" spans="20:30" x14ac:dyDescent="0.25">
      <c r="T392" s="32"/>
      <c r="U392" s="32"/>
      <c r="AC392" s="32"/>
      <c r="AD392" s="32"/>
    </row>
    <row r="393" spans="20:30" x14ac:dyDescent="0.25">
      <c r="T393" s="32"/>
      <c r="U393" s="32"/>
      <c r="AC393" s="32"/>
      <c r="AD393" s="32"/>
    </row>
    <row r="394" spans="20:30" x14ac:dyDescent="0.25">
      <c r="T394" s="32"/>
      <c r="U394" s="32"/>
      <c r="AC394" s="32"/>
      <c r="AD394" s="32"/>
    </row>
    <row r="395" spans="20:30" x14ac:dyDescent="0.25">
      <c r="T395" s="32"/>
      <c r="U395" s="32"/>
      <c r="AC395" s="32"/>
      <c r="AD395" s="32"/>
    </row>
    <row r="396" spans="20:30" x14ac:dyDescent="0.25">
      <c r="T396" s="32"/>
      <c r="U396" s="32"/>
      <c r="AC396" s="32"/>
      <c r="AD396" s="32"/>
    </row>
    <row r="397" spans="20:30" x14ac:dyDescent="0.25">
      <c r="T397" s="32"/>
      <c r="U397" s="32"/>
      <c r="AC397" s="32"/>
      <c r="AD397" s="32"/>
    </row>
    <row r="398" spans="20:30" x14ac:dyDescent="0.25">
      <c r="T398" s="32"/>
      <c r="U398" s="32"/>
      <c r="AC398" s="32"/>
      <c r="AD398" s="32"/>
    </row>
    <row r="399" spans="20:30" x14ac:dyDescent="0.25">
      <c r="T399" s="32"/>
      <c r="U399" s="32"/>
      <c r="AC399" s="32"/>
      <c r="AD399" s="32"/>
    </row>
    <row r="400" spans="20:30" x14ac:dyDescent="0.25">
      <c r="T400" s="32"/>
      <c r="U400" s="32"/>
      <c r="AC400" s="32"/>
      <c r="AD400" s="32"/>
    </row>
    <row r="401" spans="20:30" x14ac:dyDescent="0.25">
      <c r="T401" s="32"/>
      <c r="U401" s="32"/>
      <c r="AC401" s="32"/>
      <c r="AD401" s="32"/>
    </row>
    <row r="402" spans="20:30" x14ac:dyDescent="0.25">
      <c r="T402" s="32"/>
      <c r="U402" s="32"/>
      <c r="AC402" s="32"/>
      <c r="AD402" s="32"/>
    </row>
    <row r="403" spans="20:30" x14ac:dyDescent="0.25">
      <c r="T403" s="32"/>
      <c r="U403" s="32"/>
      <c r="AC403" s="32"/>
      <c r="AD403" s="32"/>
    </row>
    <row r="404" spans="20:30" x14ac:dyDescent="0.25">
      <c r="T404" s="32"/>
      <c r="U404" s="32"/>
      <c r="AC404" s="32"/>
      <c r="AD404" s="32"/>
    </row>
    <row r="405" spans="20:30" x14ac:dyDescent="0.25">
      <c r="T405" s="32"/>
      <c r="U405" s="32"/>
      <c r="AC405" s="32"/>
      <c r="AD405" s="32"/>
    </row>
    <row r="406" spans="20:30" x14ac:dyDescent="0.25">
      <c r="T406" s="32"/>
      <c r="U406" s="32"/>
      <c r="AC406" s="32"/>
      <c r="AD406" s="32"/>
    </row>
    <row r="407" spans="20:30" x14ac:dyDescent="0.25">
      <c r="T407" s="32"/>
      <c r="U407" s="32"/>
      <c r="AC407" s="32"/>
      <c r="AD407" s="32"/>
    </row>
    <row r="408" spans="20:30" x14ac:dyDescent="0.25">
      <c r="T408" s="32"/>
      <c r="U408" s="32"/>
      <c r="AC408" s="32"/>
      <c r="AD408" s="32"/>
    </row>
    <row r="409" spans="20:30" x14ac:dyDescent="0.25">
      <c r="T409" s="32"/>
      <c r="U409" s="32"/>
      <c r="AC409" s="32"/>
      <c r="AD409" s="32"/>
    </row>
    <row r="410" spans="20:30" x14ac:dyDescent="0.25">
      <c r="T410" s="32"/>
      <c r="U410" s="32"/>
      <c r="AC410" s="32"/>
      <c r="AD410" s="32"/>
    </row>
    <row r="411" spans="20:30" x14ac:dyDescent="0.25">
      <c r="T411" s="32"/>
      <c r="U411" s="32"/>
      <c r="AC411" s="32"/>
      <c r="AD411" s="32"/>
    </row>
    <row r="412" spans="20:30" x14ac:dyDescent="0.25">
      <c r="T412" s="32"/>
      <c r="U412" s="32"/>
      <c r="AC412" s="32"/>
      <c r="AD412" s="32"/>
    </row>
    <row r="413" spans="20:30" x14ac:dyDescent="0.25">
      <c r="T413" s="32"/>
      <c r="U413" s="32"/>
      <c r="AC413" s="32"/>
      <c r="AD413" s="32"/>
    </row>
    <row r="414" spans="20:30" x14ac:dyDescent="0.25">
      <c r="T414" s="32"/>
      <c r="U414" s="32"/>
      <c r="AC414" s="32"/>
      <c r="AD414" s="32"/>
    </row>
    <row r="415" spans="20:30" x14ac:dyDescent="0.25">
      <c r="T415" s="32"/>
      <c r="U415" s="32"/>
      <c r="AC415" s="32"/>
      <c r="AD415" s="32"/>
    </row>
    <row r="416" spans="20:30" x14ac:dyDescent="0.25">
      <c r="T416" s="32"/>
      <c r="U416" s="32"/>
      <c r="AC416" s="32"/>
      <c r="AD416" s="32"/>
    </row>
    <row r="417" spans="20:30" x14ac:dyDescent="0.25">
      <c r="T417" s="32"/>
      <c r="U417" s="32"/>
      <c r="AC417" s="32"/>
      <c r="AD417" s="32"/>
    </row>
    <row r="418" spans="20:30" x14ac:dyDescent="0.25">
      <c r="T418" s="32"/>
      <c r="U418" s="32"/>
      <c r="AC418" s="32"/>
      <c r="AD418" s="32"/>
    </row>
    <row r="419" spans="20:30" x14ac:dyDescent="0.25">
      <c r="T419" s="32"/>
      <c r="U419" s="32"/>
      <c r="AC419" s="32"/>
      <c r="AD419" s="32"/>
    </row>
    <row r="420" spans="20:30" x14ac:dyDescent="0.25">
      <c r="T420" s="32"/>
      <c r="U420" s="32"/>
      <c r="AC420" s="32"/>
      <c r="AD420" s="32"/>
    </row>
    <row r="421" spans="20:30" x14ac:dyDescent="0.25">
      <c r="T421" s="32"/>
      <c r="U421" s="32"/>
      <c r="AC421" s="32"/>
      <c r="AD421" s="32"/>
    </row>
    <row r="422" spans="20:30" x14ac:dyDescent="0.25">
      <c r="T422" s="32"/>
      <c r="U422" s="32"/>
      <c r="AC422" s="32"/>
      <c r="AD422" s="32"/>
    </row>
    <row r="423" spans="20:30" x14ac:dyDescent="0.25">
      <c r="T423" s="32"/>
      <c r="U423" s="32"/>
      <c r="AC423" s="32"/>
      <c r="AD423" s="32"/>
    </row>
    <row r="424" spans="20:30" x14ac:dyDescent="0.25">
      <c r="T424" s="32"/>
      <c r="U424" s="32"/>
      <c r="AC424" s="32"/>
      <c r="AD424" s="32"/>
    </row>
    <row r="425" spans="20:30" x14ac:dyDescent="0.25">
      <c r="T425" s="32"/>
      <c r="U425" s="32"/>
      <c r="AC425" s="32"/>
      <c r="AD425" s="32"/>
    </row>
    <row r="426" spans="20:30" x14ac:dyDescent="0.25">
      <c r="T426" s="32"/>
      <c r="U426" s="32"/>
      <c r="AC426" s="32"/>
      <c r="AD426" s="32"/>
    </row>
    <row r="427" spans="20:30" x14ac:dyDescent="0.25">
      <c r="T427" s="32"/>
      <c r="U427" s="32"/>
      <c r="AC427" s="32"/>
      <c r="AD427" s="32"/>
    </row>
    <row r="428" spans="20:30" x14ac:dyDescent="0.25">
      <c r="T428" s="32"/>
      <c r="U428" s="32"/>
      <c r="AC428" s="32"/>
      <c r="AD428" s="32"/>
    </row>
    <row r="429" spans="20:30" x14ac:dyDescent="0.25">
      <c r="T429" s="32"/>
      <c r="U429" s="32"/>
      <c r="AC429" s="32"/>
      <c r="AD429" s="32"/>
    </row>
    <row r="430" spans="20:30" x14ac:dyDescent="0.25">
      <c r="T430" s="32"/>
      <c r="U430" s="32"/>
      <c r="AC430" s="32"/>
      <c r="AD430" s="32"/>
    </row>
    <row r="431" spans="20:30" x14ac:dyDescent="0.25">
      <c r="T431" s="32"/>
      <c r="U431" s="32"/>
      <c r="AC431" s="32"/>
      <c r="AD431" s="32"/>
    </row>
    <row r="432" spans="20:30" x14ac:dyDescent="0.25">
      <c r="T432" s="32"/>
      <c r="U432" s="32"/>
      <c r="AC432" s="32"/>
      <c r="AD432" s="32"/>
    </row>
    <row r="433" spans="20:30" x14ac:dyDescent="0.25">
      <c r="T433" s="32"/>
      <c r="U433" s="32"/>
      <c r="AC433" s="32"/>
      <c r="AD433" s="32"/>
    </row>
    <row r="434" spans="20:30" x14ac:dyDescent="0.25">
      <c r="T434" s="32"/>
      <c r="U434" s="32"/>
      <c r="AC434" s="32"/>
      <c r="AD434" s="32"/>
    </row>
    <row r="435" spans="20:30" x14ac:dyDescent="0.25">
      <c r="T435" s="32"/>
      <c r="U435" s="32"/>
      <c r="AC435" s="32"/>
      <c r="AD435" s="32"/>
    </row>
    <row r="436" spans="20:30" x14ac:dyDescent="0.25">
      <c r="T436" s="32"/>
      <c r="U436" s="32"/>
      <c r="AC436" s="32"/>
      <c r="AD436" s="32"/>
    </row>
    <row r="437" spans="20:30" x14ac:dyDescent="0.25">
      <c r="T437" s="32"/>
      <c r="U437" s="32"/>
      <c r="AC437" s="32"/>
      <c r="AD437" s="32"/>
    </row>
    <row r="438" spans="20:30" x14ac:dyDescent="0.25">
      <c r="T438" s="32"/>
      <c r="U438" s="32"/>
      <c r="AC438" s="32"/>
      <c r="AD438" s="32"/>
    </row>
    <row r="439" spans="20:30" x14ac:dyDescent="0.25">
      <c r="T439" s="32"/>
      <c r="U439" s="32"/>
      <c r="AC439" s="32"/>
      <c r="AD439" s="32"/>
    </row>
    <row r="440" spans="20:30" x14ac:dyDescent="0.25">
      <c r="T440" s="32"/>
      <c r="U440" s="32"/>
      <c r="AC440" s="32"/>
      <c r="AD440" s="32"/>
    </row>
    <row r="441" spans="20:30" x14ac:dyDescent="0.25">
      <c r="T441" s="32"/>
      <c r="U441" s="32"/>
      <c r="AC441" s="32"/>
      <c r="AD441" s="32"/>
    </row>
    <row r="442" spans="20:30" x14ac:dyDescent="0.25">
      <c r="T442" s="32"/>
      <c r="U442" s="32"/>
      <c r="AC442" s="32"/>
      <c r="AD442" s="32"/>
    </row>
    <row r="443" spans="20:30" x14ac:dyDescent="0.25">
      <c r="T443" s="32"/>
      <c r="U443" s="32"/>
      <c r="AC443" s="32"/>
      <c r="AD443" s="32"/>
    </row>
    <row r="444" spans="20:30" x14ac:dyDescent="0.25">
      <c r="T444" s="32"/>
      <c r="U444" s="32"/>
      <c r="AC444" s="32"/>
      <c r="AD444" s="32"/>
    </row>
    <row r="445" spans="20:30" x14ac:dyDescent="0.25">
      <c r="T445" s="32"/>
      <c r="U445" s="32"/>
      <c r="AC445" s="32"/>
      <c r="AD445" s="32"/>
    </row>
    <row r="446" spans="20:30" x14ac:dyDescent="0.25">
      <c r="T446" s="32"/>
      <c r="U446" s="32"/>
      <c r="AC446" s="32"/>
      <c r="AD446" s="32"/>
    </row>
    <row r="447" spans="20:30" x14ac:dyDescent="0.25">
      <c r="T447" s="32"/>
      <c r="U447" s="32"/>
      <c r="AC447" s="32"/>
      <c r="AD447" s="32"/>
    </row>
    <row r="448" spans="20:30" x14ac:dyDescent="0.25">
      <c r="T448" s="32"/>
      <c r="U448" s="32"/>
      <c r="AC448" s="32"/>
      <c r="AD448" s="32"/>
    </row>
    <row r="449" spans="20:30" x14ac:dyDescent="0.25">
      <c r="T449" s="32"/>
      <c r="U449" s="32"/>
      <c r="AC449" s="32"/>
      <c r="AD449" s="32"/>
    </row>
    <row r="450" spans="20:30" x14ac:dyDescent="0.25">
      <c r="T450" s="32"/>
      <c r="U450" s="32"/>
      <c r="AC450" s="32"/>
      <c r="AD450" s="32"/>
    </row>
    <row r="451" spans="20:30" x14ac:dyDescent="0.25">
      <c r="T451" s="32"/>
      <c r="U451" s="32"/>
      <c r="AC451" s="32"/>
      <c r="AD451" s="32"/>
    </row>
    <row r="452" spans="20:30" x14ac:dyDescent="0.25">
      <c r="T452" s="32"/>
      <c r="U452" s="32"/>
      <c r="AC452" s="32"/>
      <c r="AD452" s="32"/>
    </row>
    <row r="453" spans="20:30" x14ac:dyDescent="0.25">
      <c r="T453" s="32"/>
      <c r="U453" s="32"/>
      <c r="AC453" s="32"/>
      <c r="AD453" s="32"/>
    </row>
    <row r="454" spans="20:30" x14ac:dyDescent="0.25">
      <c r="T454" s="32"/>
      <c r="U454" s="32"/>
      <c r="AC454" s="32"/>
      <c r="AD454" s="32"/>
    </row>
    <row r="455" spans="20:30" x14ac:dyDescent="0.25">
      <c r="T455" s="32"/>
      <c r="U455" s="32"/>
      <c r="AC455" s="32"/>
      <c r="AD455" s="32"/>
    </row>
    <row r="456" spans="20:30" x14ac:dyDescent="0.25">
      <c r="T456" s="32"/>
      <c r="U456" s="32"/>
      <c r="AC456" s="32"/>
      <c r="AD456" s="32"/>
    </row>
    <row r="457" spans="20:30" x14ac:dyDescent="0.25">
      <c r="T457" s="32"/>
      <c r="U457" s="32"/>
      <c r="AC457" s="32"/>
      <c r="AD457" s="32"/>
    </row>
    <row r="458" spans="20:30" x14ac:dyDescent="0.25">
      <c r="T458" s="32"/>
      <c r="U458" s="32"/>
      <c r="AC458" s="32"/>
      <c r="AD458" s="32"/>
    </row>
    <row r="459" spans="20:30" x14ac:dyDescent="0.25">
      <c r="T459" s="32"/>
      <c r="U459" s="32"/>
      <c r="AC459" s="32"/>
      <c r="AD459" s="32"/>
    </row>
    <row r="460" spans="20:30" x14ac:dyDescent="0.25">
      <c r="T460" s="32"/>
      <c r="U460" s="32"/>
      <c r="AC460" s="32"/>
      <c r="AD460" s="32"/>
    </row>
    <row r="461" spans="20:30" x14ac:dyDescent="0.25">
      <c r="T461" s="32"/>
      <c r="U461" s="32"/>
      <c r="AC461" s="32"/>
      <c r="AD461" s="32"/>
    </row>
    <row r="462" spans="20:30" x14ac:dyDescent="0.25">
      <c r="T462" s="32"/>
      <c r="U462" s="32"/>
      <c r="AC462" s="32"/>
      <c r="AD462" s="32"/>
    </row>
    <row r="463" spans="20:30" x14ac:dyDescent="0.25">
      <c r="T463" s="32"/>
      <c r="U463" s="32"/>
      <c r="AC463" s="32"/>
      <c r="AD463" s="32"/>
    </row>
    <row r="464" spans="20:30" x14ac:dyDescent="0.25">
      <c r="T464" s="32"/>
      <c r="U464" s="32"/>
      <c r="AC464" s="32"/>
      <c r="AD464" s="32"/>
    </row>
    <row r="465" spans="20:30" x14ac:dyDescent="0.25">
      <c r="T465" s="32"/>
      <c r="U465" s="32"/>
      <c r="AC465" s="32"/>
      <c r="AD465" s="32"/>
    </row>
    <row r="466" spans="20:30" x14ac:dyDescent="0.25">
      <c r="T466" s="32"/>
      <c r="U466" s="32"/>
      <c r="AC466" s="32"/>
      <c r="AD466" s="32"/>
    </row>
    <row r="467" spans="20:30" x14ac:dyDescent="0.25">
      <c r="T467" s="32"/>
      <c r="U467" s="32"/>
      <c r="AC467" s="32"/>
      <c r="AD467" s="32"/>
    </row>
    <row r="468" spans="20:30" x14ac:dyDescent="0.25">
      <c r="T468" s="32"/>
      <c r="U468" s="32"/>
      <c r="AC468" s="32"/>
      <c r="AD468" s="32"/>
    </row>
    <row r="469" spans="20:30" x14ac:dyDescent="0.25">
      <c r="T469" s="32"/>
      <c r="U469" s="32"/>
      <c r="AC469" s="32"/>
      <c r="AD469" s="32"/>
    </row>
    <row r="470" spans="20:30" x14ac:dyDescent="0.25">
      <c r="T470" s="32"/>
      <c r="U470" s="32"/>
      <c r="AC470" s="32"/>
      <c r="AD470" s="32"/>
    </row>
    <row r="471" spans="20:30" x14ac:dyDescent="0.25">
      <c r="T471" s="32"/>
      <c r="U471" s="32"/>
      <c r="AC471" s="32"/>
      <c r="AD471" s="32"/>
    </row>
    <row r="472" spans="20:30" x14ac:dyDescent="0.25">
      <c r="T472" s="32"/>
      <c r="U472" s="32"/>
      <c r="AC472" s="32"/>
      <c r="AD472" s="32"/>
    </row>
    <row r="473" spans="20:30" x14ac:dyDescent="0.25">
      <c r="T473" s="32"/>
      <c r="U473" s="32"/>
      <c r="AC473" s="32"/>
      <c r="AD473" s="32"/>
    </row>
    <row r="474" spans="20:30" x14ac:dyDescent="0.25">
      <c r="T474" s="32"/>
      <c r="U474" s="32"/>
      <c r="AC474" s="32"/>
      <c r="AD474" s="32"/>
    </row>
    <row r="475" spans="20:30" x14ac:dyDescent="0.25">
      <c r="T475" s="32"/>
      <c r="U475" s="32"/>
      <c r="AC475" s="32"/>
      <c r="AD475" s="32"/>
    </row>
    <row r="476" spans="20:30" x14ac:dyDescent="0.25">
      <c r="T476" s="32"/>
      <c r="U476" s="32"/>
      <c r="AC476" s="32"/>
      <c r="AD476" s="32"/>
    </row>
    <row r="477" spans="20:30" x14ac:dyDescent="0.25">
      <c r="T477" s="32"/>
      <c r="U477" s="32"/>
      <c r="AC477" s="32"/>
      <c r="AD477" s="32"/>
    </row>
    <row r="478" spans="20:30" x14ac:dyDescent="0.25">
      <c r="T478" s="32"/>
      <c r="U478" s="32"/>
      <c r="AC478" s="32"/>
      <c r="AD478" s="32"/>
    </row>
    <row r="479" spans="20:30" x14ac:dyDescent="0.25">
      <c r="T479" s="32"/>
      <c r="U479" s="32"/>
      <c r="AC479" s="32"/>
      <c r="AD479" s="32"/>
    </row>
    <row r="480" spans="20:30" x14ac:dyDescent="0.25">
      <c r="T480" s="32"/>
      <c r="U480" s="32"/>
      <c r="AC480" s="32"/>
      <c r="AD480" s="32"/>
    </row>
    <row r="481" spans="20:30" x14ac:dyDescent="0.25">
      <c r="T481" s="32"/>
      <c r="U481" s="32"/>
      <c r="AC481" s="32"/>
      <c r="AD481" s="32"/>
    </row>
    <row r="482" spans="20:30" x14ac:dyDescent="0.25">
      <c r="T482" s="32"/>
      <c r="U482" s="32"/>
      <c r="AC482" s="32"/>
      <c r="AD482" s="32"/>
    </row>
    <row r="483" spans="20:30" x14ac:dyDescent="0.25">
      <c r="T483" s="32"/>
      <c r="U483" s="32"/>
      <c r="AC483" s="32"/>
      <c r="AD483" s="32"/>
    </row>
    <row r="484" spans="20:30" x14ac:dyDescent="0.25">
      <c r="T484" s="32"/>
      <c r="U484" s="32"/>
      <c r="AC484" s="32"/>
      <c r="AD484" s="32"/>
    </row>
    <row r="485" spans="20:30" x14ac:dyDescent="0.25">
      <c r="T485" s="32"/>
      <c r="U485" s="32"/>
      <c r="AC485" s="32"/>
      <c r="AD485" s="32"/>
    </row>
    <row r="486" spans="20:30" x14ac:dyDescent="0.25">
      <c r="T486" s="32"/>
      <c r="U486" s="32"/>
      <c r="AC486" s="32"/>
      <c r="AD486" s="32"/>
    </row>
    <row r="487" spans="20:30" x14ac:dyDescent="0.25">
      <c r="T487" s="32"/>
      <c r="U487" s="32"/>
      <c r="AC487" s="32"/>
      <c r="AD487" s="32"/>
    </row>
    <row r="488" spans="20:30" x14ac:dyDescent="0.25">
      <c r="T488" s="32"/>
      <c r="U488" s="32"/>
      <c r="AC488" s="32"/>
      <c r="AD488" s="32"/>
    </row>
    <row r="489" spans="20:30" x14ac:dyDescent="0.25">
      <c r="T489" s="32"/>
      <c r="U489" s="32"/>
      <c r="AC489" s="32"/>
      <c r="AD489" s="32"/>
    </row>
    <row r="490" spans="20:30" x14ac:dyDescent="0.25">
      <c r="T490" s="32"/>
      <c r="U490" s="32"/>
      <c r="AC490" s="32"/>
      <c r="AD490" s="32"/>
    </row>
    <row r="491" spans="20:30" x14ac:dyDescent="0.25">
      <c r="T491" s="32"/>
      <c r="U491" s="32"/>
      <c r="AC491" s="32"/>
      <c r="AD491" s="32"/>
    </row>
    <row r="492" spans="20:30" x14ac:dyDescent="0.25">
      <c r="T492" s="32"/>
      <c r="U492" s="32"/>
      <c r="AC492" s="32"/>
      <c r="AD492" s="32"/>
    </row>
    <row r="493" spans="20:30" x14ac:dyDescent="0.25">
      <c r="T493" s="32"/>
      <c r="U493" s="32"/>
      <c r="AC493" s="32"/>
      <c r="AD493" s="32"/>
    </row>
    <row r="494" spans="20:30" x14ac:dyDescent="0.25">
      <c r="T494" s="32"/>
      <c r="U494" s="32"/>
      <c r="AC494" s="32"/>
      <c r="AD494" s="32"/>
    </row>
    <row r="495" spans="20:30" x14ac:dyDescent="0.25">
      <c r="T495" s="32"/>
      <c r="U495" s="32"/>
      <c r="AC495" s="32"/>
      <c r="AD495" s="32"/>
    </row>
    <row r="496" spans="20:30" x14ac:dyDescent="0.25">
      <c r="T496" s="32"/>
      <c r="U496" s="32"/>
      <c r="AC496" s="32"/>
      <c r="AD496" s="32"/>
    </row>
    <row r="497" spans="20:30" x14ac:dyDescent="0.25">
      <c r="T497" s="32"/>
      <c r="U497" s="32"/>
      <c r="AC497" s="32"/>
      <c r="AD497" s="32"/>
    </row>
    <row r="498" spans="20:30" x14ac:dyDescent="0.25">
      <c r="T498" s="32"/>
      <c r="U498" s="32"/>
      <c r="AC498" s="32"/>
      <c r="AD498" s="32"/>
    </row>
    <row r="499" spans="20:30" x14ac:dyDescent="0.25">
      <c r="T499" s="32"/>
      <c r="U499" s="32"/>
      <c r="AC499" s="32"/>
      <c r="AD499" s="32"/>
    </row>
    <row r="500" spans="20:30" x14ac:dyDescent="0.25">
      <c r="T500" s="32"/>
      <c r="U500" s="32"/>
      <c r="AC500" s="32"/>
      <c r="AD500" s="32"/>
    </row>
    <row r="501" spans="20:30" x14ac:dyDescent="0.25">
      <c r="T501" s="32"/>
      <c r="U501" s="32"/>
      <c r="AC501" s="32"/>
      <c r="AD501" s="32"/>
    </row>
    <row r="502" spans="20:30" x14ac:dyDescent="0.25">
      <c r="T502" s="32"/>
      <c r="U502" s="32"/>
      <c r="AC502" s="32"/>
      <c r="AD502" s="32"/>
    </row>
    <row r="503" spans="20:30" x14ac:dyDescent="0.25">
      <c r="T503" s="32"/>
      <c r="U503" s="32"/>
      <c r="AC503" s="32"/>
      <c r="AD503" s="32"/>
    </row>
    <row r="504" spans="20:30" x14ac:dyDescent="0.25">
      <c r="T504" s="32"/>
      <c r="U504" s="32"/>
      <c r="AC504" s="32"/>
      <c r="AD504" s="32"/>
    </row>
    <row r="505" spans="20:30" x14ac:dyDescent="0.25">
      <c r="T505" s="32"/>
      <c r="U505" s="32"/>
      <c r="AC505" s="32"/>
      <c r="AD505" s="32"/>
    </row>
    <row r="506" spans="20:30" x14ac:dyDescent="0.25">
      <c r="T506" s="32"/>
      <c r="U506" s="32"/>
      <c r="AC506" s="32"/>
      <c r="AD506" s="32"/>
    </row>
    <row r="507" spans="20:30" x14ac:dyDescent="0.25">
      <c r="T507" s="32"/>
      <c r="U507" s="32"/>
      <c r="AC507" s="32"/>
      <c r="AD507" s="32"/>
    </row>
    <row r="508" spans="20:30" x14ac:dyDescent="0.25">
      <c r="T508" s="32"/>
      <c r="U508" s="32"/>
      <c r="AC508" s="32"/>
      <c r="AD508" s="32"/>
    </row>
    <row r="509" spans="20:30" x14ac:dyDescent="0.25">
      <c r="T509" s="32"/>
      <c r="U509" s="32"/>
      <c r="AC509" s="32"/>
      <c r="AD509" s="32"/>
    </row>
    <row r="510" spans="20:30" x14ac:dyDescent="0.25">
      <c r="T510" s="32"/>
      <c r="U510" s="32"/>
      <c r="AC510" s="32"/>
      <c r="AD510" s="32"/>
    </row>
    <row r="511" spans="20:30" x14ac:dyDescent="0.25">
      <c r="T511" s="32"/>
      <c r="U511" s="32"/>
      <c r="AC511" s="32"/>
      <c r="AD511" s="32"/>
    </row>
    <row r="512" spans="20:30" x14ac:dyDescent="0.25">
      <c r="T512" s="32"/>
      <c r="U512" s="32"/>
      <c r="AC512" s="32"/>
      <c r="AD512" s="32"/>
    </row>
    <row r="513" spans="20:30" x14ac:dyDescent="0.25">
      <c r="T513" s="32"/>
      <c r="U513" s="32"/>
      <c r="AC513" s="32"/>
      <c r="AD513" s="32"/>
    </row>
    <row r="514" spans="20:30" x14ac:dyDescent="0.25">
      <c r="T514" s="32"/>
      <c r="U514" s="32"/>
      <c r="AC514" s="32"/>
      <c r="AD514" s="32"/>
    </row>
    <row r="515" spans="20:30" x14ac:dyDescent="0.25">
      <c r="T515" s="32"/>
      <c r="U515" s="32"/>
      <c r="AC515" s="32"/>
      <c r="AD515" s="32"/>
    </row>
    <row r="516" spans="20:30" x14ac:dyDescent="0.25">
      <c r="T516" s="32"/>
      <c r="U516" s="32"/>
      <c r="AC516" s="32"/>
      <c r="AD516" s="32"/>
    </row>
    <row r="517" spans="20:30" x14ac:dyDescent="0.25">
      <c r="T517" s="32"/>
      <c r="U517" s="32"/>
      <c r="AC517" s="32"/>
      <c r="AD517" s="32"/>
    </row>
    <row r="518" spans="20:30" x14ac:dyDescent="0.25">
      <c r="T518" s="32"/>
      <c r="U518" s="32"/>
      <c r="AC518" s="32"/>
      <c r="AD518" s="32"/>
    </row>
    <row r="519" spans="20:30" x14ac:dyDescent="0.25">
      <c r="T519" s="32"/>
      <c r="U519" s="32"/>
      <c r="AC519" s="32"/>
      <c r="AD519" s="32"/>
    </row>
    <row r="520" spans="20:30" x14ac:dyDescent="0.25">
      <c r="T520" s="32"/>
      <c r="U520" s="32"/>
      <c r="AC520" s="32"/>
      <c r="AD520" s="32"/>
    </row>
    <row r="521" spans="20:30" x14ac:dyDescent="0.25">
      <c r="T521" s="32"/>
      <c r="U521" s="32"/>
      <c r="AC521" s="32"/>
      <c r="AD521" s="32"/>
    </row>
    <row r="522" spans="20:30" x14ac:dyDescent="0.25">
      <c r="T522" s="32"/>
      <c r="U522" s="32"/>
      <c r="AC522" s="32"/>
      <c r="AD522" s="32"/>
    </row>
    <row r="523" spans="20:30" x14ac:dyDescent="0.25">
      <c r="T523" s="32"/>
      <c r="U523" s="32"/>
      <c r="AC523" s="32"/>
      <c r="AD523" s="32"/>
    </row>
    <row r="524" spans="20:30" x14ac:dyDescent="0.25">
      <c r="T524" s="32"/>
      <c r="U524" s="32"/>
      <c r="AC524" s="32"/>
      <c r="AD524" s="32"/>
    </row>
    <row r="525" spans="20:30" x14ac:dyDescent="0.25">
      <c r="T525" s="32"/>
      <c r="U525" s="32"/>
      <c r="AC525" s="32"/>
      <c r="AD525" s="32"/>
    </row>
    <row r="526" spans="20:30" x14ac:dyDescent="0.25">
      <c r="T526" s="32"/>
      <c r="U526" s="32"/>
      <c r="AC526" s="32"/>
      <c r="AD526" s="32"/>
    </row>
    <row r="527" spans="20:30" x14ac:dyDescent="0.25">
      <c r="T527" s="32"/>
      <c r="U527" s="32"/>
      <c r="AC527" s="32"/>
      <c r="AD527" s="32"/>
    </row>
    <row r="528" spans="20:30" x14ac:dyDescent="0.25">
      <c r="T528" s="32"/>
      <c r="U528" s="32"/>
      <c r="AC528" s="32"/>
      <c r="AD528" s="32"/>
    </row>
    <row r="529" spans="20:30" x14ac:dyDescent="0.25">
      <c r="T529" s="32"/>
      <c r="U529" s="32"/>
      <c r="AC529" s="32"/>
      <c r="AD529" s="32"/>
    </row>
    <row r="530" spans="20:30" x14ac:dyDescent="0.25">
      <c r="T530" s="32"/>
      <c r="U530" s="32"/>
      <c r="AC530" s="32"/>
      <c r="AD530" s="32"/>
    </row>
    <row r="531" spans="20:30" x14ac:dyDescent="0.25">
      <c r="T531" s="32"/>
      <c r="U531" s="32"/>
      <c r="AC531" s="32"/>
      <c r="AD531" s="32"/>
    </row>
    <row r="532" spans="20:30" x14ac:dyDescent="0.25">
      <c r="T532" s="32"/>
      <c r="U532" s="32"/>
      <c r="AC532" s="32"/>
      <c r="AD532" s="32"/>
    </row>
    <row r="533" spans="20:30" x14ac:dyDescent="0.25">
      <c r="T533" s="32"/>
      <c r="U533" s="32"/>
      <c r="AC533" s="32"/>
      <c r="AD533" s="32"/>
    </row>
    <row r="534" spans="20:30" x14ac:dyDescent="0.25">
      <c r="T534" s="32"/>
      <c r="U534" s="32"/>
      <c r="AC534" s="32"/>
      <c r="AD534" s="32"/>
    </row>
    <row r="535" spans="20:30" x14ac:dyDescent="0.25">
      <c r="T535" s="32"/>
      <c r="U535" s="32"/>
      <c r="AC535" s="32"/>
      <c r="AD535" s="32"/>
    </row>
    <row r="536" spans="20:30" x14ac:dyDescent="0.25">
      <c r="T536" s="32"/>
      <c r="U536" s="32"/>
      <c r="AC536" s="32"/>
      <c r="AD536" s="32"/>
    </row>
    <row r="537" spans="20:30" x14ac:dyDescent="0.25">
      <c r="T537" s="32"/>
      <c r="U537" s="32"/>
      <c r="AC537" s="32"/>
      <c r="AD537" s="32"/>
    </row>
    <row r="538" spans="20:30" x14ac:dyDescent="0.25">
      <c r="T538" s="32"/>
      <c r="U538" s="32"/>
      <c r="AC538" s="32"/>
      <c r="AD538" s="32"/>
    </row>
    <row r="539" spans="20:30" x14ac:dyDescent="0.25">
      <c r="T539" s="32"/>
      <c r="U539" s="32"/>
      <c r="AC539" s="32"/>
      <c r="AD539" s="32"/>
    </row>
    <row r="540" spans="20:30" x14ac:dyDescent="0.25">
      <c r="T540" s="32"/>
      <c r="U540" s="32"/>
      <c r="AC540" s="32"/>
      <c r="AD540" s="32"/>
    </row>
    <row r="541" spans="20:30" x14ac:dyDescent="0.25">
      <c r="T541" s="32"/>
      <c r="U541" s="32"/>
      <c r="AC541" s="32"/>
      <c r="AD541" s="32"/>
    </row>
    <row r="542" spans="20:30" x14ac:dyDescent="0.25">
      <c r="T542" s="32"/>
      <c r="U542" s="32"/>
      <c r="AC542" s="32"/>
      <c r="AD542" s="32"/>
    </row>
    <row r="543" spans="20:30" x14ac:dyDescent="0.25">
      <c r="T543" s="32"/>
      <c r="U543" s="32"/>
      <c r="AC543" s="32"/>
      <c r="AD543" s="32"/>
    </row>
    <row r="544" spans="20:30" x14ac:dyDescent="0.25">
      <c r="T544" s="32"/>
      <c r="U544" s="32"/>
      <c r="AC544" s="32"/>
      <c r="AD544" s="32"/>
    </row>
    <row r="545" spans="20:30" x14ac:dyDescent="0.25">
      <c r="T545" s="32"/>
      <c r="U545" s="32"/>
      <c r="AC545" s="32"/>
      <c r="AD545" s="32"/>
    </row>
    <row r="546" spans="20:30" x14ac:dyDescent="0.25">
      <c r="T546" s="32"/>
      <c r="U546" s="32"/>
      <c r="AC546" s="32"/>
      <c r="AD546" s="32"/>
    </row>
    <row r="547" spans="20:30" x14ac:dyDescent="0.25">
      <c r="T547" s="32"/>
      <c r="U547" s="32"/>
      <c r="AC547" s="32"/>
      <c r="AD547" s="32"/>
    </row>
    <row r="548" spans="20:30" x14ac:dyDescent="0.25">
      <c r="T548" s="32"/>
      <c r="U548" s="32"/>
      <c r="AC548" s="32"/>
      <c r="AD548" s="32"/>
    </row>
    <row r="549" spans="20:30" x14ac:dyDescent="0.25">
      <c r="T549" s="32"/>
      <c r="U549" s="32"/>
      <c r="AC549" s="32"/>
      <c r="AD549" s="32"/>
    </row>
    <row r="550" spans="20:30" x14ac:dyDescent="0.25">
      <c r="T550" s="32"/>
      <c r="U550" s="32"/>
      <c r="AC550" s="32"/>
      <c r="AD550" s="32"/>
    </row>
    <row r="551" spans="20:30" x14ac:dyDescent="0.25">
      <c r="T551" s="32"/>
      <c r="U551" s="32"/>
      <c r="AC551" s="32"/>
      <c r="AD551" s="32"/>
    </row>
    <row r="552" spans="20:30" x14ac:dyDescent="0.25">
      <c r="T552" s="32"/>
      <c r="U552" s="32"/>
      <c r="AC552" s="32"/>
      <c r="AD552" s="32"/>
    </row>
    <row r="553" spans="20:30" x14ac:dyDescent="0.25">
      <c r="T553" s="32"/>
      <c r="U553" s="32"/>
      <c r="AC553" s="32"/>
      <c r="AD553" s="32"/>
    </row>
    <row r="554" spans="20:30" x14ac:dyDescent="0.25">
      <c r="T554" s="32"/>
      <c r="U554" s="32"/>
      <c r="AC554" s="32"/>
      <c r="AD554" s="32"/>
    </row>
    <row r="555" spans="20:30" x14ac:dyDescent="0.25">
      <c r="T555" s="32"/>
      <c r="U555" s="32"/>
      <c r="AC555" s="32"/>
      <c r="AD555" s="32"/>
    </row>
    <row r="556" spans="20:30" x14ac:dyDescent="0.25">
      <c r="T556" s="32"/>
      <c r="U556" s="32"/>
      <c r="AC556" s="32"/>
      <c r="AD556" s="32"/>
    </row>
    <row r="557" spans="20:30" x14ac:dyDescent="0.25">
      <c r="T557" s="32"/>
      <c r="U557" s="32"/>
      <c r="AC557" s="32"/>
      <c r="AD557" s="32"/>
    </row>
    <row r="558" spans="20:30" x14ac:dyDescent="0.25">
      <c r="T558" s="32"/>
      <c r="U558" s="32"/>
      <c r="AC558" s="32"/>
      <c r="AD558" s="32"/>
    </row>
    <row r="559" spans="20:30" x14ac:dyDescent="0.25">
      <c r="T559" s="32"/>
      <c r="U559" s="32"/>
      <c r="AC559" s="32"/>
      <c r="AD559" s="32"/>
    </row>
    <row r="560" spans="20:30" x14ac:dyDescent="0.25">
      <c r="T560" s="32"/>
      <c r="U560" s="32"/>
      <c r="AC560" s="32"/>
      <c r="AD560" s="32"/>
    </row>
    <row r="561" spans="20:30" x14ac:dyDescent="0.25">
      <c r="T561" s="32"/>
      <c r="U561" s="32"/>
      <c r="AC561" s="32"/>
      <c r="AD561" s="32"/>
    </row>
    <row r="562" spans="20:30" x14ac:dyDescent="0.25">
      <c r="T562" s="32"/>
      <c r="U562" s="32"/>
      <c r="AC562" s="32"/>
      <c r="AD562" s="32"/>
    </row>
    <row r="563" spans="20:30" x14ac:dyDescent="0.25">
      <c r="T563" s="32"/>
      <c r="U563" s="32"/>
      <c r="AC563" s="32"/>
      <c r="AD563" s="32"/>
    </row>
    <row r="564" spans="20:30" x14ac:dyDescent="0.25">
      <c r="T564" s="32"/>
      <c r="U564" s="32"/>
      <c r="AC564" s="32"/>
      <c r="AD564" s="32"/>
    </row>
    <row r="565" spans="20:30" x14ac:dyDescent="0.25">
      <c r="T565" s="32"/>
      <c r="U565" s="32"/>
      <c r="AC565" s="32"/>
      <c r="AD565" s="32"/>
    </row>
    <row r="566" spans="20:30" x14ac:dyDescent="0.25">
      <c r="T566" s="32"/>
      <c r="U566" s="32"/>
      <c r="AC566" s="32"/>
      <c r="AD566" s="32"/>
    </row>
    <row r="567" spans="20:30" x14ac:dyDescent="0.25">
      <c r="T567" s="32"/>
      <c r="U567" s="32"/>
      <c r="AC567" s="32"/>
      <c r="AD567" s="32"/>
    </row>
    <row r="568" spans="20:30" x14ac:dyDescent="0.25">
      <c r="T568" s="32"/>
      <c r="U568" s="32"/>
      <c r="AC568" s="32"/>
      <c r="AD568" s="32"/>
    </row>
    <row r="569" spans="20:30" x14ac:dyDescent="0.25">
      <c r="T569" s="32"/>
      <c r="U569" s="32"/>
      <c r="AC569" s="32"/>
      <c r="AD569" s="32"/>
    </row>
    <row r="570" spans="20:30" x14ac:dyDescent="0.25">
      <c r="T570" s="32"/>
      <c r="U570" s="32"/>
      <c r="AC570" s="32"/>
      <c r="AD570" s="32"/>
    </row>
    <row r="571" spans="20:30" x14ac:dyDescent="0.25">
      <c r="T571" s="32"/>
      <c r="U571" s="32"/>
      <c r="AC571" s="32"/>
      <c r="AD571" s="32"/>
    </row>
    <row r="572" spans="20:30" x14ac:dyDescent="0.25">
      <c r="T572" s="32"/>
      <c r="U572" s="32"/>
      <c r="AC572" s="32"/>
      <c r="AD572" s="32"/>
    </row>
    <row r="573" spans="20:30" x14ac:dyDescent="0.25">
      <c r="T573" s="32"/>
      <c r="U573" s="32"/>
      <c r="AC573" s="32"/>
      <c r="AD573" s="32"/>
    </row>
    <row r="574" spans="20:30" x14ac:dyDescent="0.25">
      <c r="T574" s="32"/>
      <c r="U574" s="32"/>
      <c r="AC574" s="32"/>
      <c r="AD574" s="32"/>
    </row>
    <row r="575" spans="20:30" x14ac:dyDescent="0.25">
      <c r="T575" s="32"/>
      <c r="U575" s="32"/>
      <c r="AC575" s="32"/>
      <c r="AD575" s="32"/>
    </row>
    <row r="576" spans="20:30" x14ac:dyDescent="0.25">
      <c r="T576" s="32"/>
      <c r="U576" s="32"/>
      <c r="AC576" s="32"/>
      <c r="AD576" s="32"/>
    </row>
    <row r="577" spans="20:30" x14ac:dyDescent="0.25">
      <c r="T577" s="32"/>
      <c r="U577" s="32"/>
      <c r="AC577" s="32"/>
      <c r="AD577" s="32"/>
    </row>
    <row r="578" spans="20:30" x14ac:dyDescent="0.25">
      <c r="T578" s="32"/>
      <c r="U578" s="32"/>
      <c r="AC578" s="32"/>
      <c r="AD578" s="32"/>
    </row>
    <row r="579" spans="20:30" x14ac:dyDescent="0.25">
      <c r="T579" s="32"/>
      <c r="U579" s="32"/>
      <c r="AC579" s="32"/>
      <c r="AD579" s="32"/>
    </row>
    <row r="580" spans="20:30" x14ac:dyDescent="0.25">
      <c r="T580" s="32"/>
      <c r="U580" s="32"/>
      <c r="AC580" s="32"/>
      <c r="AD580" s="32"/>
    </row>
    <row r="581" spans="20:30" x14ac:dyDescent="0.25">
      <c r="T581" s="32"/>
      <c r="U581" s="32"/>
      <c r="AC581" s="32"/>
      <c r="AD581" s="32"/>
    </row>
    <row r="582" spans="20:30" x14ac:dyDescent="0.25">
      <c r="T582" s="32"/>
      <c r="U582" s="32"/>
      <c r="AC582" s="32"/>
      <c r="AD582" s="32"/>
    </row>
    <row r="583" spans="20:30" x14ac:dyDescent="0.25">
      <c r="T583" s="32"/>
      <c r="U583" s="32"/>
      <c r="AC583" s="32"/>
      <c r="AD583" s="32"/>
    </row>
    <row r="584" spans="20:30" x14ac:dyDescent="0.25">
      <c r="T584" s="32"/>
      <c r="U584" s="32"/>
      <c r="AC584" s="32"/>
      <c r="AD584" s="32"/>
    </row>
    <row r="585" spans="20:30" x14ac:dyDescent="0.25">
      <c r="T585" s="32"/>
      <c r="U585" s="32"/>
      <c r="AC585" s="32"/>
      <c r="AD585" s="32"/>
    </row>
    <row r="586" spans="20:30" x14ac:dyDescent="0.25">
      <c r="T586" s="32"/>
      <c r="U586" s="32"/>
      <c r="AC586" s="32"/>
      <c r="AD586" s="32"/>
    </row>
    <row r="587" spans="20:30" x14ac:dyDescent="0.25">
      <c r="T587" s="32"/>
      <c r="U587" s="32"/>
      <c r="AC587" s="32"/>
      <c r="AD587" s="32"/>
    </row>
    <row r="588" spans="20:30" x14ac:dyDescent="0.25">
      <c r="T588" s="32"/>
      <c r="U588" s="32"/>
      <c r="AC588" s="32"/>
      <c r="AD588" s="32"/>
    </row>
    <row r="589" spans="20:30" x14ac:dyDescent="0.25">
      <c r="T589" s="32"/>
      <c r="U589" s="32"/>
      <c r="AC589" s="32"/>
      <c r="AD589" s="32"/>
    </row>
    <row r="590" spans="20:30" x14ac:dyDescent="0.25">
      <c r="T590" s="32"/>
      <c r="U590" s="32"/>
      <c r="AC590" s="32"/>
      <c r="AD590" s="32"/>
    </row>
    <row r="591" spans="20:30" x14ac:dyDescent="0.25">
      <c r="T591" s="32"/>
      <c r="U591" s="32"/>
      <c r="AC591" s="32"/>
      <c r="AD591" s="32"/>
    </row>
    <row r="592" spans="20:30" x14ac:dyDescent="0.25">
      <c r="T592" s="32"/>
      <c r="U592" s="32"/>
      <c r="AC592" s="32"/>
      <c r="AD592" s="32"/>
    </row>
    <row r="593" spans="20:30" x14ac:dyDescent="0.25">
      <c r="T593" s="32"/>
      <c r="U593" s="32"/>
      <c r="AC593" s="32"/>
      <c r="AD593" s="32"/>
    </row>
    <row r="594" spans="20:30" x14ac:dyDescent="0.25">
      <c r="T594" s="32"/>
      <c r="U594" s="32"/>
      <c r="AC594" s="32"/>
      <c r="AD594" s="32"/>
    </row>
    <row r="595" spans="20:30" x14ac:dyDescent="0.25">
      <c r="T595" s="32"/>
      <c r="U595" s="32"/>
      <c r="AC595" s="32"/>
      <c r="AD595" s="32"/>
    </row>
    <row r="596" spans="20:30" x14ac:dyDescent="0.25">
      <c r="T596" s="32"/>
      <c r="U596" s="32"/>
      <c r="AC596" s="32"/>
      <c r="AD596" s="32"/>
    </row>
    <row r="597" spans="20:30" x14ac:dyDescent="0.25">
      <c r="T597" s="32"/>
      <c r="U597" s="32"/>
      <c r="AC597" s="32"/>
      <c r="AD597" s="32"/>
    </row>
    <row r="598" spans="20:30" x14ac:dyDescent="0.25">
      <c r="T598" s="32"/>
      <c r="U598" s="32"/>
      <c r="AC598" s="32"/>
      <c r="AD598" s="32"/>
    </row>
    <row r="599" spans="20:30" x14ac:dyDescent="0.25">
      <c r="T599" s="32"/>
      <c r="U599" s="32"/>
      <c r="AC599" s="32"/>
      <c r="AD599" s="32"/>
    </row>
    <row r="600" spans="20:30" x14ac:dyDescent="0.25">
      <c r="T600" s="32"/>
      <c r="U600" s="32"/>
      <c r="AC600" s="32"/>
      <c r="AD600" s="32"/>
    </row>
    <row r="601" spans="20:30" x14ac:dyDescent="0.25">
      <c r="T601" s="32"/>
      <c r="U601" s="32"/>
      <c r="AC601" s="32"/>
      <c r="AD601" s="32"/>
    </row>
    <row r="602" spans="20:30" x14ac:dyDescent="0.25">
      <c r="T602" s="32"/>
      <c r="U602" s="32"/>
      <c r="AC602" s="32"/>
      <c r="AD602" s="32"/>
    </row>
    <row r="603" spans="20:30" x14ac:dyDescent="0.25">
      <c r="T603" s="32"/>
      <c r="U603" s="32"/>
      <c r="AC603" s="32"/>
      <c r="AD603" s="32"/>
    </row>
    <row r="604" spans="20:30" x14ac:dyDescent="0.25">
      <c r="T604" s="32"/>
      <c r="U604" s="32"/>
      <c r="AC604" s="32"/>
      <c r="AD604" s="32"/>
    </row>
    <row r="605" spans="20:30" x14ac:dyDescent="0.25">
      <c r="T605" s="32"/>
      <c r="U605" s="32"/>
      <c r="AC605" s="32"/>
      <c r="AD605" s="32"/>
    </row>
    <row r="606" spans="20:30" x14ac:dyDescent="0.25">
      <c r="T606" s="32"/>
      <c r="U606" s="32"/>
      <c r="AC606" s="32"/>
      <c r="AD606" s="32"/>
    </row>
    <row r="607" spans="20:30" x14ac:dyDescent="0.25">
      <c r="T607" s="32"/>
      <c r="U607" s="32"/>
      <c r="AC607" s="32"/>
      <c r="AD607" s="32"/>
    </row>
    <row r="608" spans="20:30" x14ac:dyDescent="0.25">
      <c r="T608" s="32"/>
      <c r="U608" s="32"/>
      <c r="AC608" s="32"/>
      <c r="AD608" s="32"/>
    </row>
    <row r="609" spans="20:30" x14ac:dyDescent="0.25">
      <c r="T609" s="32"/>
      <c r="U609" s="32"/>
      <c r="AC609" s="32"/>
      <c r="AD609" s="32"/>
    </row>
    <row r="610" spans="20:30" x14ac:dyDescent="0.25">
      <c r="T610" s="32"/>
      <c r="U610" s="32"/>
      <c r="AC610" s="32"/>
      <c r="AD610" s="32"/>
    </row>
    <row r="611" spans="20:30" x14ac:dyDescent="0.25">
      <c r="T611" s="32"/>
      <c r="U611" s="32"/>
      <c r="AC611" s="32"/>
      <c r="AD611" s="32"/>
    </row>
    <row r="612" spans="20:30" x14ac:dyDescent="0.25">
      <c r="T612" s="32"/>
      <c r="U612" s="32"/>
      <c r="AC612" s="32"/>
      <c r="AD612" s="32"/>
    </row>
    <row r="613" spans="20:30" x14ac:dyDescent="0.25">
      <c r="T613" s="32"/>
      <c r="U613" s="32"/>
      <c r="AC613" s="32"/>
      <c r="AD613" s="32"/>
    </row>
    <row r="614" spans="20:30" x14ac:dyDescent="0.25">
      <c r="T614" s="32"/>
      <c r="U614" s="32"/>
      <c r="AC614" s="32"/>
      <c r="AD614" s="32"/>
    </row>
    <row r="615" spans="20:30" x14ac:dyDescent="0.25">
      <c r="T615" s="32"/>
      <c r="U615" s="32"/>
      <c r="AC615" s="32"/>
      <c r="AD615" s="32"/>
    </row>
    <row r="616" spans="20:30" x14ac:dyDescent="0.25">
      <c r="T616" s="32"/>
      <c r="U616" s="32"/>
      <c r="AC616" s="32"/>
      <c r="AD616" s="32"/>
    </row>
    <row r="617" spans="20:30" x14ac:dyDescent="0.25">
      <c r="T617" s="32"/>
      <c r="U617" s="32"/>
      <c r="AC617" s="32"/>
      <c r="AD617" s="32"/>
    </row>
    <row r="618" spans="20:30" x14ac:dyDescent="0.25">
      <c r="T618" s="32"/>
      <c r="U618" s="32"/>
      <c r="AC618" s="32"/>
      <c r="AD618" s="32"/>
    </row>
    <row r="619" spans="20:30" x14ac:dyDescent="0.25">
      <c r="T619" s="32"/>
      <c r="U619" s="32"/>
      <c r="AC619" s="32"/>
      <c r="AD619" s="32"/>
    </row>
    <row r="620" spans="20:30" x14ac:dyDescent="0.25">
      <c r="T620" s="32"/>
      <c r="U620" s="32"/>
      <c r="AC620" s="32"/>
      <c r="AD620" s="32"/>
    </row>
    <row r="621" spans="20:30" x14ac:dyDescent="0.25">
      <c r="T621" s="32"/>
      <c r="U621" s="32"/>
      <c r="AC621" s="32"/>
      <c r="AD621" s="32"/>
    </row>
    <row r="622" spans="20:30" x14ac:dyDescent="0.25">
      <c r="T622" s="32"/>
      <c r="U622" s="32"/>
      <c r="AC622" s="32"/>
      <c r="AD622" s="32"/>
    </row>
    <row r="623" spans="20:30" x14ac:dyDescent="0.25">
      <c r="T623" s="32"/>
      <c r="U623" s="32"/>
      <c r="AC623" s="32"/>
      <c r="AD623" s="32"/>
    </row>
    <row r="624" spans="20:30" x14ac:dyDescent="0.25">
      <c r="T624" s="32"/>
      <c r="U624" s="32"/>
      <c r="AC624" s="32"/>
      <c r="AD624" s="32"/>
    </row>
    <row r="625" spans="20:30" x14ac:dyDescent="0.25">
      <c r="T625" s="32"/>
      <c r="U625" s="32"/>
      <c r="AC625" s="32"/>
      <c r="AD625" s="32"/>
    </row>
    <row r="626" spans="20:30" x14ac:dyDescent="0.25">
      <c r="T626" s="32"/>
      <c r="U626" s="32"/>
      <c r="AC626" s="32"/>
      <c r="AD626" s="32"/>
    </row>
    <row r="627" spans="20:30" x14ac:dyDescent="0.25">
      <c r="T627" s="32"/>
      <c r="U627" s="32"/>
      <c r="AC627" s="32"/>
      <c r="AD627" s="32"/>
    </row>
    <row r="628" spans="20:30" x14ac:dyDescent="0.25">
      <c r="T628" s="32"/>
      <c r="U628" s="32"/>
      <c r="AC628" s="32"/>
      <c r="AD628" s="32"/>
    </row>
    <row r="629" spans="20:30" x14ac:dyDescent="0.25">
      <c r="T629" s="32"/>
      <c r="U629" s="32"/>
      <c r="AC629" s="32"/>
      <c r="AD629" s="32"/>
    </row>
    <row r="630" spans="20:30" x14ac:dyDescent="0.25">
      <c r="T630" s="32"/>
      <c r="U630" s="32"/>
      <c r="AC630" s="32"/>
      <c r="AD630" s="32"/>
    </row>
    <row r="631" spans="20:30" x14ac:dyDescent="0.25">
      <c r="T631" s="32"/>
      <c r="U631" s="32"/>
      <c r="AC631" s="32"/>
      <c r="AD631" s="32"/>
    </row>
    <row r="632" spans="20:30" x14ac:dyDescent="0.25">
      <c r="T632" s="32"/>
      <c r="U632" s="32"/>
      <c r="AC632" s="32"/>
      <c r="AD632" s="32"/>
    </row>
    <row r="633" spans="20:30" x14ac:dyDescent="0.25">
      <c r="T633" s="32"/>
      <c r="U633" s="32"/>
      <c r="AC633" s="32"/>
      <c r="AD633" s="32"/>
    </row>
    <row r="634" spans="20:30" x14ac:dyDescent="0.25">
      <c r="T634" s="32"/>
      <c r="U634" s="32"/>
      <c r="AC634" s="32"/>
      <c r="AD634" s="32"/>
    </row>
    <row r="635" spans="20:30" x14ac:dyDescent="0.25">
      <c r="T635" s="32"/>
      <c r="U635" s="32"/>
      <c r="AC635" s="32"/>
      <c r="AD635" s="32"/>
    </row>
    <row r="636" spans="20:30" x14ac:dyDescent="0.25">
      <c r="T636" s="32"/>
      <c r="U636" s="32"/>
      <c r="AC636" s="32"/>
      <c r="AD636" s="32"/>
    </row>
    <row r="637" spans="20:30" x14ac:dyDescent="0.25">
      <c r="T637" s="32"/>
      <c r="U637" s="32"/>
      <c r="AC637" s="32"/>
      <c r="AD637" s="32"/>
    </row>
    <row r="638" spans="20:30" x14ac:dyDescent="0.25">
      <c r="T638" s="32"/>
      <c r="U638" s="32"/>
      <c r="AC638" s="32"/>
      <c r="AD638" s="32"/>
    </row>
    <row r="639" spans="20:30" x14ac:dyDescent="0.25">
      <c r="T639" s="32"/>
      <c r="U639" s="32"/>
      <c r="AC639" s="32"/>
      <c r="AD639" s="32"/>
    </row>
    <row r="640" spans="20:30" x14ac:dyDescent="0.25">
      <c r="T640" s="32"/>
      <c r="U640" s="32"/>
      <c r="AC640" s="32"/>
      <c r="AD640" s="32"/>
    </row>
    <row r="641" spans="20:30" x14ac:dyDescent="0.25">
      <c r="T641" s="32"/>
      <c r="U641" s="32"/>
      <c r="AC641" s="32"/>
      <c r="AD641" s="32"/>
    </row>
    <row r="642" spans="20:30" x14ac:dyDescent="0.25">
      <c r="T642" s="32"/>
      <c r="U642" s="32"/>
      <c r="AC642" s="32"/>
      <c r="AD642" s="32"/>
    </row>
    <row r="643" spans="20:30" x14ac:dyDescent="0.25">
      <c r="T643" s="32"/>
      <c r="U643" s="32"/>
      <c r="AC643" s="32"/>
      <c r="AD643" s="32"/>
    </row>
    <row r="644" spans="20:30" x14ac:dyDescent="0.25">
      <c r="T644" s="32"/>
      <c r="U644" s="32"/>
      <c r="AC644" s="32"/>
      <c r="AD644" s="32"/>
    </row>
    <row r="645" spans="20:30" x14ac:dyDescent="0.25">
      <c r="T645" s="32"/>
      <c r="U645" s="32"/>
      <c r="AC645" s="32"/>
      <c r="AD645" s="32"/>
    </row>
    <row r="646" spans="20:30" x14ac:dyDescent="0.25">
      <c r="T646" s="32"/>
      <c r="U646" s="32"/>
      <c r="AC646" s="32"/>
      <c r="AD646" s="32"/>
    </row>
    <row r="647" spans="20:30" x14ac:dyDescent="0.25">
      <c r="T647" s="32"/>
      <c r="U647" s="32"/>
      <c r="AC647" s="32"/>
      <c r="AD647" s="32"/>
    </row>
    <row r="648" spans="20:30" x14ac:dyDescent="0.25">
      <c r="T648" s="32"/>
      <c r="U648" s="32"/>
      <c r="AC648" s="32"/>
      <c r="AD648" s="32"/>
    </row>
    <row r="649" spans="20:30" x14ac:dyDescent="0.25">
      <c r="T649" s="32"/>
      <c r="U649" s="32"/>
      <c r="AC649" s="32"/>
      <c r="AD649" s="32"/>
    </row>
    <row r="650" spans="20:30" x14ac:dyDescent="0.25">
      <c r="T650" s="32"/>
      <c r="U650" s="32"/>
      <c r="AC650" s="32"/>
      <c r="AD650" s="32"/>
    </row>
    <row r="651" spans="20:30" x14ac:dyDescent="0.25">
      <c r="T651" s="32"/>
      <c r="U651" s="32"/>
      <c r="AC651" s="32"/>
      <c r="AD651" s="32"/>
    </row>
    <row r="652" spans="20:30" x14ac:dyDescent="0.25">
      <c r="T652" s="32"/>
      <c r="U652" s="32"/>
      <c r="AC652" s="32"/>
      <c r="AD652" s="32"/>
    </row>
    <row r="653" spans="20:30" x14ac:dyDescent="0.25">
      <c r="T653" s="32"/>
      <c r="U653" s="32"/>
      <c r="AC653" s="32"/>
      <c r="AD653" s="32"/>
    </row>
    <row r="654" spans="20:30" x14ac:dyDescent="0.25">
      <c r="T654" s="32"/>
      <c r="U654" s="32"/>
      <c r="AC654" s="32"/>
      <c r="AD654" s="32"/>
    </row>
    <row r="655" spans="20:30" x14ac:dyDescent="0.25">
      <c r="T655" s="32"/>
      <c r="U655" s="32"/>
      <c r="AC655" s="32"/>
      <c r="AD655" s="32"/>
    </row>
    <row r="656" spans="20:30" x14ac:dyDescent="0.25">
      <c r="T656" s="32"/>
      <c r="U656" s="32"/>
      <c r="AC656" s="32"/>
      <c r="AD656" s="32"/>
    </row>
    <row r="657" spans="20:30" x14ac:dyDescent="0.25">
      <c r="T657" s="32"/>
      <c r="U657" s="32"/>
      <c r="AC657" s="32"/>
      <c r="AD657" s="32"/>
    </row>
    <row r="658" spans="20:30" x14ac:dyDescent="0.25">
      <c r="T658" s="32"/>
      <c r="U658" s="32"/>
      <c r="AC658" s="32"/>
      <c r="AD658" s="32"/>
    </row>
    <row r="659" spans="20:30" x14ac:dyDescent="0.25">
      <c r="T659" s="32"/>
      <c r="U659" s="32"/>
      <c r="AC659" s="32"/>
      <c r="AD659" s="32"/>
    </row>
    <row r="660" spans="20:30" x14ac:dyDescent="0.25">
      <c r="T660" s="32"/>
      <c r="U660" s="32"/>
      <c r="AC660" s="32"/>
      <c r="AD660" s="32"/>
    </row>
    <row r="661" spans="20:30" x14ac:dyDescent="0.25">
      <c r="T661" s="32"/>
      <c r="U661" s="32"/>
      <c r="AC661" s="32"/>
      <c r="AD661" s="32"/>
    </row>
    <row r="662" spans="20:30" x14ac:dyDescent="0.25">
      <c r="T662" s="32"/>
      <c r="U662" s="32"/>
      <c r="AC662" s="32"/>
      <c r="AD662" s="32"/>
    </row>
    <row r="663" spans="20:30" x14ac:dyDescent="0.25">
      <c r="T663" s="32"/>
      <c r="U663" s="32"/>
      <c r="AC663" s="32"/>
      <c r="AD663" s="32"/>
    </row>
    <row r="664" spans="20:30" x14ac:dyDescent="0.25">
      <c r="T664" s="32"/>
      <c r="U664" s="32"/>
      <c r="AC664" s="32"/>
      <c r="AD664" s="32"/>
    </row>
    <row r="665" spans="20:30" x14ac:dyDescent="0.25">
      <c r="T665" s="32"/>
      <c r="U665" s="32"/>
      <c r="AC665" s="32"/>
      <c r="AD665" s="32"/>
    </row>
    <row r="666" spans="20:30" x14ac:dyDescent="0.25">
      <c r="T666" s="32"/>
      <c r="U666" s="32"/>
      <c r="AC666" s="32"/>
      <c r="AD666" s="32"/>
    </row>
    <row r="667" spans="20:30" x14ac:dyDescent="0.25">
      <c r="T667" s="32"/>
      <c r="U667" s="32"/>
      <c r="AC667" s="32"/>
      <c r="AD667" s="32"/>
    </row>
    <row r="668" spans="20:30" x14ac:dyDescent="0.25">
      <c r="T668" s="32"/>
      <c r="U668" s="32"/>
      <c r="AC668" s="32"/>
      <c r="AD668" s="32"/>
    </row>
    <row r="669" spans="20:30" x14ac:dyDescent="0.25">
      <c r="T669" s="32"/>
      <c r="U669" s="32"/>
      <c r="AC669" s="32"/>
      <c r="AD669" s="32"/>
    </row>
    <row r="670" spans="20:30" x14ac:dyDescent="0.25">
      <c r="T670" s="32"/>
      <c r="U670" s="32"/>
      <c r="AC670" s="32"/>
      <c r="AD670" s="32"/>
    </row>
    <row r="671" spans="20:30" x14ac:dyDescent="0.25">
      <c r="T671" s="32"/>
      <c r="U671" s="32"/>
      <c r="AC671" s="32"/>
      <c r="AD671" s="32"/>
    </row>
    <row r="672" spans="20:30" x14ac:dyDescent="0.25">
      <c r="T672" s="32"/>
      <c r="U672" s="32"/>
      <c r="AC672" s="32"/>
      <c r="AD672" s="32"/>
    </row>
    <row r="673" spans="20:30" x14ac:dyDescent="0.25">
      <c r="T673" s="32"/>
      <c r="U673" s="32"/>
      <c r="AC673" s="32"/>
      <c r="AD673" s="32"/>
    </row>
    <row r="674" spans="20:30" x14ac:dyDescent="0.25">
      <c r="T674" s="32"/>
      <c r="U674" s="32"/>
      <c r="AC674" s="32"/>
      <c r="AD674" s="32"/>
    </row>
    <row r="675" spans="20:30" x14ac:dyDescent="0.25">
      <c r="T675" s="32"/>
      <c r="U675" s="32"/>
      <c r="AC675" s="32"/>
      <c r="AD675" s="32"/>
    </row>
    <row r="676" spans="20:30" x14ac:dyDescent="0.25">
      <c r="T676" s="32"/>
      <c r="U676" s="32"/>
      <c r="AC676" s="32"/>
      <c r="AD676" s="32"/>
    </row>
    <row r="677" spans="20:30" x14ac:dyDescent="0.25">
      <c r="T677" s="32"/>
      <c r="U677" s="32"/>
      <c r="AC677" s="32"/>
      <c r="AD677" s="32"/>
    </row>
    <row r="678" spans="20:30" x14ac:dyDescent="0.25">
      <c r="T678" s="32"/>
      <c r="U678" s="32"/>
      <c r="AC678" s="32"/>
      <c r="AD678" s="32"/>
    </row>
    <row r="679" spans="20:30" x14ac:dyDescent="0.25">
      <c r="T679" s="32"/>
      <c r="U679" s="32"/>
      <c r="AC679" s="32"/>
      <c r="AD679" s="32"/>
    </row>
    <row r="680" spans="20:30" x14ac:dyDescent="0.25">
      <c r="T680" s="32"/>
      <c r="U680" s="32"/>
      <c r="AC680" s="32"/>
      <c r="AD680" s="32"/>
    </row>
    <row r="681" spans="20:30" x14ac:dyDescent="0.25">
      <c r="T681" s="32"/>
      <c r="U681" s="32"/>
      <c r="AC681" s="32"/>
      <c r="AD681" s="32"/>
    </row>
    <row r="682" spans="20:30" x14ac:dyDescent="0.25">
      <c r="T682" s="32"/>
      <c r="U682" s="32"/>
      <c r="AC682" s="32"/>
      <c r="AD682" s="32"/>
    </row>
    <row r="683" spans="20:30" x14ac:dyDescent="0.25">
      <c r="T683" s="32"/>
      <c r="U683" s="32"/>
      <c r="AC683" s="32"/>
      <c r="AD683" s="32"/>
    </row>
    <row r="684" spans="20:30" x14ac:dyDescent="0.25">
      <c r="T684" s="32"/>
      <c r="U684" s="32"/>
      <c r="AC684" s="32"/>
      <c r="AD684" s="32"/>
    </row>
    <row r="685" spans="20:30" x14ac:dyDescent="0.25">
      <c r="T685" s="32"/>
      <c r="U685" s="32"/>
      <c r="AC685" s="32"/>
      <c r="AD685" s="32"/>
    </row>
    <row r="686" spans="20:30" x14ac:dyDescent="0.25">
      <c r="T686" s="32"/>
      <c r="U686" s="32"/>
      <c r="AC686" s="32"/>
      <c r="AD686" s="32"/>
    </row>
    <row r="687" spans="20:30" x14ac:dyDescent="0.25">
      <c r="T687" s="32"/>
      <c r="U687" s="32"/>
      <c r="AC687" s="32"/>
      <c r="AD687" s="32"/>
    </row>
    <row r="688" spans="20:30" x14ac:dyDescent="0.25">
      <c r="T688" s="32"/>
      <c r="U688" s="32"/>
      <c r="AC688" s="32"/>
      <c r="AD688" s="32"/>
    </row>
    <row r="689" spans="20:30" x14ac:dyDescent="0.25">
      <c r="T689" s="32"/>
      <c r="U689" s="32"/>
      <c r="AC689" s="32"/>
      <c r="AD689" s="32"/>
    </row>
    <row r="690" spans="20:30" x14ac:dyDescent="0.25">
      <c r="T690" s="32"/>
      <c r="U690" s="32"/>
      <c r="AC690" s="32"/>
      <c r="AD690" s="32"/>
    </row>
    <row r="691" spans="20:30" x14ac:dyDescent="0.25">
      <c r="T691" s="32"/>
      <c r="U691" s="32"/>
      <c r="AC691" s="32"/>
      <c r="AD691" s="32"/>
    </row>
    <row r="692" spans="20:30" x14ac:dyDescent="0.25">
      <c r="T692" s="32"/>
      <c r="U692" s="32"/>
      <c r="AC692" s="32"/>
      <c r="AD692" s="32"/>
    </row>
    <row r="693" spans="20:30" x14ac:dyDescent="0.25">
      <c r="T693" s="32"/>
      <c r="U693" s="32"/>
      <c r="AC693" s="32"/>
      <c r="AD693" s="32"/>
    </row>
    <row r="694" spans="20:30" x14ac:dyDescent="0.25">
      <c r="T694" s="32"/>
      <c r="U694" s="32"/>
      <c r="AC694" s="32"/>
      <c r="AD694" s="32"/>
    </row>
    <row r="695" spans="20:30" x14ac:dyDescent="0.25">
      <c r="T695" s="32"/>
      <c r="U695" s="32"/>
      <c r="AC695" s="32"/>
      <c r="AD695" s="32"/>
    </row>
    <row r="696" spans="20:30" x14ac:dyDescent="0.25">
      <c r="T696" s="32"/>
      <c r="U696" s="32"/>
      <c r="AC696" s="32"/>
      <c r="AD696" s="32"/>
    </row>
    <row r="697" spans="20:30" x14ac:dyDescent="0.25">
      <c r="T697" s="32"/>
      <c r="U697" s="32"/>
      <c r="AC697" s="32"/>
      <c r="AD697" s="32"/>
    </row>
    <row r="698" spans="20:30" x14ac:dyDescent="0.25">
      <c r="T698" s="32"/>
      <c r="U698" s="32"/>
      <c r="AC698" s="32"/>
      <c r="AD698" s="32"/>
    </row>
    <row r="699" spans="20:30" x14ac:dyDescent="0.25">
      <c r="T699" s="32"/>
      <c r="U699" s="32"/>
      <c r="AC699" s="32"/>
      <c r="AD699" s="32"/>
    </row>
    <row r="700" spans="20:30" x14ac:dyDescent="0.25">
      <c r="T700" s="32"/>
      <c r="U700" s="32"/>
      <c r="AC700" s="32"/>
      <c r="AD700" s="32"/>
    </row>
    <row r="701" spans="20:30" x14ac:dyDescent="0.25">
      <c r="T701" s="32"/>
      <c r="U701" s="32"/>
      <c r="AC701" s="32"/>
      <c r="AD701" s="32"/>
    </row>
    <row r="702" spans="20:30" x14ac:dyDescent="0.25">
      <c r="T702" s="32"/>
      <c r="U702" s="32"/>
      <c r="AC702" s="32"/>
      <c r="AD702" s="32"/>
    </row>
    <row r="703" spans="20:30" x14ac:dyDescent="0.25">
      <c r="T703" s="32"/>
      <c r="U703" s="32"/>
      <c r="AC703" s="32"/>
      <c r="AD703" s="32"/>
    </row>
    <row r="704" spans="20:30" x14ac:dyDescent="0.25">
      <c r="T704" s="32"/>
      <c r="U704" s="32"/>
      <c r="AC704" s="32"/>
      <c r="AD704" s="32"/>
    </row>
    <row r="705" spans="20:30" x14ac:dyDescent="0.25">
      <c r="T705" s="32"/>
      <c r="U705" s="32"/>
      <c r="AC705" s="32"/>
      <c r="AD705" s="32"/>
    </row>
    <row r="706" spans="20:30" x14ac:dyDescent="0.25">
      <c r="T706" s="32"/>
      <c r="U706" s="32"/>
      <c r="AC706" s="32"/>
      <c r="AD706" s="32"/>
    </row>
    <row r="707" spans="20:30" x14ac:dyDescent="0.25">
      <c r="T707" s="32"/>
      <c r="U707" s="32"/>
      <c r="AC707" s="32"/>
      <c r="AD707" s="32"/>
    </row>
    <row r="708" spans="20:30" x14ac:dyDescent="0.25">
      <c r="T708" s="32"/>
      <c r="U708" s="32"/>
      <c r="AC708" s="32"/>
      <c r="AD708" s="32"/>
    </row>
    <row r="709" spans="20:30" x14ac:dyDescent="0.25">
      <c r="T709" s="32"/>
      <c r="U709" s="32"/>
      <c r="AC709" s="32"/>
      <c r="AD709" s="32"/>
    </row>
    <row r="710" spans="20:30" x14ac:dyDescent="0.25">
      <c r="T710" s="32"/>
      <c r="U710" s="32"/>
      <c r="AC710" s="32"/>
      <c r="AD710" s="32"/>
    </row>
    <row r="711" spans="20:30" x14ac:dyDescent="0.25">
      <c r="T711" s="32"/>
      <c r="U711" s="32"/>
      <c r="AC711" s="32"/>
      <c r="AD711" s="32"/>
    </row>
    <row r="712" spans="20:30" x14ac:dyDescent="0.25">
      <c r="T712" s="32"/>
      <c r="U712" s="32"/>
      <c r="AC712" s="32"/>
      <c r="AD712" s="32"/>
    </row>
    <row r="713" spans="20:30" x14ac:dyDescent="0.25">
      <c r="T713" s="32"/>
      <c r="U713" s="32"/>
      <c r="AC713" s="32"/>
      <c r="AD713" s="32"/>
    </row>
    <row r="714" spans="20:30" x14ac:dyDescent="0.25">
      <c r="T714" s="32"/>
      <c r="U714" s="32"/>
      <c r="AC714" s="32"/>
      <c r="AD714" s="32"/>
    </row>
    <row r="715" spans="20:30" x14ac:dyDescent="0.25">
      <c r="T715" s="32"/>
      <c r="U715" s="32"/>
      <c r="AC715" s="32"/>
      <c r="AD715" s="32"/>
    </row>
    <row r="716" spans="20:30" x14ac:dyDescent="0.25">
      <c r="T716" s="32"/>
      <c r="U716" s="32"/>
      <c r="AC716" s="32"/>
      <c r="AD716" s="32"/>
    </row>
    <row r="717" spans="20:30" x14ac:dyDescent="0.25">
      <c r="T717" s="32"/>
      <c r="U717" s="32"/>
      <c r="AC717" s="32"/>
      <c r="AD717" s="32"/>
    </row>
    <row r="718" spans="20:30" x14ac:dyDescent="0.25">
      <c r="T718" s="32"/>
      <c r="U718" s="32"/>
      <c r="AC718" s="32"/>
      <c r="AD718" s="32"/>
    </row>
    <row r="719" spans="20:30" x14ac:dyDescent="0.25">
      <c r="T719" s="32"/>
      <c r="U719" s="32"/>
      <c r="AC719" s="32"/>
      <c r="AD719" s="32"/>
    </row>
    <row r="720" spans="20:30" x14ac:dyDescent="0.25">
      <c r="T720" s="32"/>
      <c r="U720" s="32"/>
      <c r="AC720" s="32"/>
      <c r="AD720" s="32"/>
    </row>
    <row r="721" spans="20:30" x14ac:dyDescent="0.25">
      <c r="T721" s="32"/>
      <c r="U721" s="32"/>
      <c r="AC721" s="32"/>
      <c r="AD721" s="32"/>
    </row>
    <row r="722" spans="20:30" x14ac:dyDescent="0.25">
      <c r="T722" s="32"/>
      <c r="U722" s="32"/>
      <c r="AC722" s="32"/>
      <c r="AD722" s="32"/>
    </row>
  </sheetData>
  <autoFilter ref="A4:AL326" xr:uid="{00000000-0009-0000-0000-000004000000}"/>
  <mergeCells count="2399">
    <mergeCell ref="AL324:AL326"/>
    <mergeCell ref="AF324:AF326"/>
    <mergeCell ref="AG324:AG326"/>
    <mergeCell ref="AH324:AH326"/>
    <mergeCell ref="AI324:AI326"/>
    <mergeCell ref="AJ324:AJ326"/>
    <mergeCell ref="AK324:AK326"/>
    <mergeCell ref="AB322:AB323"/>
    <mergeCell ref="AC322:AC323"/>
    <mergeCell ref="AD322:AD323"/>
    <mergeCell ref="K324:K326"/>
    <mergeCell ref="L324:L326"/>
    <mergeCell ref="M324:M326"/>
    <mergeCell ref="AK322:AK323"/>
    <mergeCell ref="AL322:AL323"/>
    <mergeCell ref="AE322:AE323"/>
    <mergeCell ref="AF322:AF323"/>
    <mergeCell ref="AG322:AG323"/>
    <mergeCell ref="AH322:AH323"/>
    <mergeCell ref="AI322:AI323"/>
    <mergeCell ref="Y324:Y326"/>
    <mergeCell ref="Z324:Z326"/>
    <mergeCell ref="K322:K323"/>
    <mergeCell ref="L322:L323"/>
    <mergeCell ref="X322:X323"/>
    <mergeCell ref="AJ322:AJ323"/>
    <mergeCell ref="Y322:Y323"/>
    <mergeCell ref="Z322:Z323"/>
    <mergeCell ref="AA322:AA323"/>
    <mergeCell ref="A320:A321"/>
    <mergeCell ref="B320:B321"/>
    <mergeCell ref="A324:A326"/>
    <mergeCell ref="B324:B326"/>
    <mergeCell ref="C324:C326"/>
    <mergeCell ref="D324:D326"/>
    <mergeCell ref="E324:E326"/>
    <mergeCell ref="F324:F326"/>
    <mergeCell ref="N324:N326"/>
    <mergeCell ref="O324:O326"/>
    <mergeCell ref="P324:P326"/>
    <mergeCell ref="Q324:Q326"/>
    <mergeCell ref="R324:R326"/>
    <mergeCell ref="S324:S326"/>
    <mergeCell ref="T324:T326"/>
    <mergeCell ref="U324:U326"/>
    <mergeCell ref="V324:V326"/>
    <mergeCell ref="W324:W326"/>
    <mergeCell ref="X324:X326"/>
    <mergeCell ref="AA324:AA326"/>
    <mergeCell ref="AB324:AB326"/>
    <mergeCell ref="AC324:AC326"/>
    <mergeCell ref="AD324:AD326"/>
    <mergeCell ref="AE324:AE326"/>
    <mergeCell ref="A322:A323"/>
    <mergeCell ref="B322:B323"/>
    <mergeCell ref="C322:C323"/>
    <mergeCell ref="D322:D323"/>
    <mergeCell ref="E322:E323"/>
    <mergeCell ref="F322:F323"/>
    <mergeCell ref="M322:M323"/>
    <mergeCell ref="N322:N323"/>
    <mergeCell ref="O322:O323"/>
    <mergeCell ref="P322:P323"/>
    <mergeCell ref="Q322:Q323"/>
    <mergeCell ref="R322:R323"/>
    <mergeCell ref="S322:S323"/>
    <mergeCell ref="T322:T323"/>
    <mergeCell ref="U322:U323"/>
    <mergeCell ref="V322:V323"/>
    <mergeCell ref="W322:W323"/>
    <mergeCell ref="C320:C321"/>
    <mergeCell ref="D320:D321"/>
    <mergeCell ref="E320:E321"/>
    <mergeCell ref="F320:F321"/>
    <mergeCell ref="L320:L321"/>
    <mergeCell ref="M320:M321"/>
    <mergeCell ref="N320:N321"/>
    <mergeCell ref="O320:O321"/>
    <mergeCell ref="P320:P321"/>
    <mergeCell ref="Q320:Q321"/>
    <mergeCell ref="R320:R321"/>
    <mergeCell ref="S320:S321"/>
    <mergeCell ref="T320:T321"/>
    <mergeCell ref="U320:U321"/>
    <mergeCell ref="V320:V321"/>
    <mergeCell ref="V317:V319"/>
    <mergeCell ref="AH317:AH319"/>
    <mergeCell ref="W317:W319"/>
    <mergeCell ref="X317:X319"/>
    <mergeCell ref="Y317:Y319"/>
    <mergeCell ref="Z317:Z319"/>
    <mergeCell ref="AA317:AA319"/>
    <mergeCell ref="AB317:AB319"/>
    <mergeCell ref="K320:K321"/>
    <mergeCell ref="AD320:AD321"/>
    <mergeCell ref="AE320:AE321"/>
    <mergeCell ref="AF320:AF321"/>
    <mergeCell ref="AG320:AG321"/>
    <mergeCell ref="AH320:AH321"/>
    <mergeCell ref="AI317:AI319"/>
    <mergeCell ref="AJ317:AJ319"/>
    <mergeCell ref="AK317:AK319"/>
    <mergeCell ref="AL317:AL319"/>
    <mergeCell ref="AC317:AC319"/>
    <mergeCell ref="AD317:AD319"/>
    <mergeCell ref="AE317:AE319"/>
    <mergeCell ref="AF317:AF319"/>
    <mergeCell ref="AG317:AG319"/>
    <mergeCell ref="W320:W321"/>
    <mergeCell ref="AI320:AI321"/>
    <mergeCell ref="X320:X321"/>
    <mergeCell ref="Y320:Y321"/>
    <mergeCell ref="Z320:Z321"/>
    <mergeCell ref="AA320:AA321"/>
    <mergeCell ref="AB320:AB321"/>
    <mergeCell ref="AC320:AC321"/>
    <mergeCell ref="AJ320:AJ321"/>
    <mergeCell ref="AK320:AK321"/>
    <mergeCell ref="AL320:AL321"/>
    <mergeCell ref="A317:A319"/>
    <mergeCell ref="B317:B319"/>
    <mergeCell ref="C317:C319"/>
    <mergeCell ref="D317:D319"/>
    <mergeCell ref="E317:E319"/>
    <mergeCell ref="F317:F319"/>
    <mergeCell ref="K317:K319"/>
    <mergeCell ref="L317:L319"/>
    <mergeCell ref="M317:M319"/>
    <mergeCell ref="N317:N319"/>
    <mergeCell ref="O317:O319"/>
    <mergeCell ref="P317:P319"/>
    <mergeCell ref="Q317:Q319"/>
    <mergeCell ref="R317:R319"/>
    <mergeCell ref="S317:S319"/>
    <mergeCell ref="T317:T319"/>
    <mergeCell ref="U317:U319"/>
    <mergeCell ref="A315:A316"/>
    <mergeCell ref="B315:B316"/>
    <mergeCell ref="C315:C316"/>
    <mergeCell ref="D315:D316"/>
    <mergeCell ref="E315:E316"/>
    <mergeCell ref="F315:F316"/>
    <mergeCell ref="N315:N316"/>
    <mergeCell ref="O315:O316"/>
    <mergeCell ref="P315:P316"/>
    <mergeCell ref="Q315:Q316"/>
    <mergeCell ref="R315:R316"/>
    <mergeCell ref="S315:S316"/>
    <mergeCell ref="T315:T316"/>
    <mergeCell ref="U315:U316"/>
    <mergeCell ref="V315:V316"/>
    <mergeCell ref="W315:W316"/>
    <mergeCell ref="X315:X316"/>
    <mergeCell ref="X313:X314"/>
    <mergeCell ref="AJ313:AJ314"/>
    <mergeCell ref="Y313:Y314"/>
    <mergeCell ref="Z313:Z314"/>
    <mergeCell ref="AA313:AA314"/>
    <mergeCell ref="AB313:AB314"/>
    <mergeCell ref="AC313:AC314"/>
    <mergeCell ref="AD313:AD314"/>
    <mergeCell ref="K315:K316"/>
    <mergeCell ref="L315:L316"/>
    <mergeCell ref="M315:M316"/>
    <mergeCell ref="AK313:AK314"/>
    <mergeCell ref="AL313:AL314"/>
    <mergeCell ref="AE313:AE314"/>
    <mergeCell ref="AF313:AF314"/>
    <mergeCell ref="AG313:AG314"/>
    <mergeCell ref="AH313:AH314"/>
    <mergeCell ref="AI313:AI314"/>
    <mergeCell ref="Y315:Y316"/>
    <mergeCell ref="Z315:Z316"/>
    <mergeCell ref="AA315:AA316"/>
    <mergeCell ref="AB315:AB316"/>
    <mergeCell ref="AC315:AC316"/>
    <mergeCell ref="AD315:AD316"/>
    <mergeCell ref="AE315:AE316"/>
    <mergeCell ref="AL315:AL316"/>
    <mergeCell ref="AF315:AF316"/>
    <mergeCell ref="AG315:AG316"/>
    <mergeCell ref="AH315:AH316"/>
    <mergeCell ref="AI315:AI316"/>
    <mergeCell ref="AJ315:AJ316"/>
    <mergeCell ref="AK315:AK316"/>
    <mergeCell ref="Y309:Y311"/>
    <mergeCell ref="Z309:Z311"/>
    <mergeCell ref="AA309:AA311"/>
    <mergeCell ref="AB309:AB311"/>
    <mergeCell ref="AC309:AC311"/>
    <mergeCell ref="K313:K314"/>
    <mergeCell ref="L313:L314"/>
    <mergeCell ref="AJ309:AJ311"/>
    <mergeCell ref="AK309:AK311"/>
    <mergeCell ref="AL309:AL311"/>
    <mergeCell ref="AD309:AD311"/>
    <mergeCell ref="AE309:AE311"/>
    <mergeCell ref="AF309:AF311"/>
    <mergeCell ref="AG309:AG311"/>
    <mergeCell ref="AH309:AH311"/>
    <mergeCell ref="A313:A314"/>
    <mergeCell ref="B313:B314"/>
    <mergeCell ref="C313:C314"/>
    <mergeCell ref="D313:D314"/>
    <mergeCell ref="E313:E314"/>
    <mergeCell ref="F313:F314"/>
    <mergeCell ref="M313:M314"/>
    <mergeCell ref="N313:N314"/>
    <mergeCell ref="O313:O314"/>
    <mergeCell ref="P313:P314"/>
    <mergeCell ref="Q313:Q314"/>
    <mergeCell ref="R313:R314"/>
    <mergeCell ref="S313:S314"/>
    <mergeCell ref="T313:T314"/>
    <mergeCell ref="U313:U314"/>
    <mergeCell ref="V313:V314"/>
    <mergeCell ref="W313:W314"/>
    <mergeCell ref="AA307:AA308"/>
    <mergeCell ref="AB307:AB308"/>
    <mergeCell ref="K309:K311"/>
    <mergeCell ref="AI307:AI308"/>
    <mergeCell ref="AJ307:AJ308"/>
    <mergeCell ref="AK307:AK308"/>
    <mergeCell ref="AL307:AL308"/>
    <mergeCell ref="AC307:AC308"/>
    <mergeCell ref="AD307:AD308"/>
    <mergeCell ref="AE307:AE308"/>
    <mergeCell ref="AF307:AF308"/>
    <mergeCell ref="AG307:AG308"/>
    <mergeCell ref="A309:A311"/>
    <mergeCell ref="B309:B311"/>
    <mergeCell ref="C309:C311"/>
    <mergeCell ref="D309:D311"/>
    <mergeCell ref="E309:E311"/>
    <mergeCell ref="F309:F311"/>
    <mergeCell ref="L309:L311"/>
    <mergeCell ref="M309:M311"/>
    <mergeCell ref="N309:N311"/>
    <mergeCell ref="O309:O311"/>
    <mergeCell ref="P309:P311"/>
    <mergeCell ref="Q309:Q311"/>
    <mergeCell ref="R309:R311"/>
    <mergeCell ref="S309:S311"/>
    <mergeCell ref="T309:T311"/>
    <mergeCell ref="U309:U311"/>
    <mergeCell ref="V309:V311"/>
    <mergeCell ref="W309:W311"/>
    <mergeCell ref="AI309:AI311"/>
    <mergeCell ref="X309:X311"/>
    <mergeCell ref="AD301:AD306"/>
    <mergeCell ref="AE301:AE306"/>
    <mergeCell ref="AL301:AL306"/>
    <mergeCell ref="AF301:AF306"/>
    <mergeCell ref="AG301:AG306"/>
    <mergeCell ref="AH301:AH306"/>
    <mergeCell ref="AI301:AI306"/>
    <mergeCell ref="AJ301:AJ306"/>
    <mergeCell ref="AK301:AK306"/>
    <mergeCell ref="A307:A308"/>
    <mergeCell ref="B307:B308"/>
    <mergeCell ref="C307:C308"/>
    <mergeCell ref="D307:D308"/>
    <mergeCell ref="E307:E308"/>
    <mergeCell ref="F307:F308"/>
    <mergeCell ref="K307:K308"/>
    <mergeCell ref="L307:L308"/>
    <mergeCell ref="M307:M308"/>
    <mergeCell ref="N307:N308"/>
    <mergeCell ref="O307:O308"/>
    <mergeCell ref="P307:P308"/>
    <mergeCell ref="Q307:Q308"/>
    <mergeCell ref="R307:R308"/>
    <mergeCell ref="S307:S308"/>
    <mergeCell ref="T307:T308"/>
    <mergeCell ref="U307:U308"/>
    <mergeCell ref="V307:V308"/>
    <mergeCell ref="AH307:AH308"/>
    <mergeCell ref="W307:W308"/>
    <mergeCell ref="X307:X308"/>
    <mergeCell ref="Y307:Y308"/>
    <mergeCell ref="Z307:Z308"/>
    <mergeCell ref="K301:K306"/>
    <mergeCell ref="L301:L306"/>
    <mergeCell ref="M301:M306"/>
    <mergeCell ref="AK299:AK300"/>
    <mergeCell ref="AL299:AL300"/>
    <mergeCell ref="AE299:AE300"/>
    <mergeCell ref="AF299:AF300"/>
    <mergeCell ref="AG299:AG300"/>
    <mergeCell ref="AH299:AH300"/>
    <mergeCell ref="AI299:AI300"/>
    <mergeCell ref="A301:A306"/>
    <mergeCell ref="B301:B306"/>
    <mergeCell ref="C301:C306"/>
    <mergeCell ref="D301:D306"/>
    <mergeCell ref="E301:E306"/>
    <mergeCell ref="F301:F306"/>
    <mergeCell ref="N301:N306"/>
    <mergeCell ref="O301:O306"/>
    <mergeCell ref="P301:P306"/>
    <mergeCell ref="Q301:Q306"/>
    <mergeCell ref="R301:R306"/>
    <mergeCell ref="S301:S306"/>
    <mergeCell ref="T301:T306"/>
    <mergeCell ref="U301:U306"/>
    <mergeCell ref="V301:V306"/>
    <mergeCell ref="W301:W306"/>
    <mergeCell ref="X301:X306"/>
    <mergeCell ref="Y301:Y306"/>
    <mergeCell ref="Z301:Z306"/>
    <mergeCell ref="AA301:AA306"/>
    <mergeCell ref="AB301:AB306"/>
    <mergeCell ref="AC301:AC306"/>
    <mergeCell ref="A299:A300"/>
    <mergeCell ref="B299:B300"/>
    <mergeCell ref="C299:C300"/>
    <mergeCell ref="D299:D300"/>
    <mergeCell ref="E299:E300"/>
    <mergeCell ref="F299:F300"/>
    <mergeCell ref="M299:M300"/>
    <mergeCell ref="N299:N300"/>
    <mergeCell ref="O299:O300"/>
    <mergeCell ref="P299:P300"/>
    <mergeCell ref="Q299:Q300"/>
    <mergeCell ref="R299:R300"/>
    <mergeCell ref="S299:S300"/>
    <mergeCell ref="T299:T300"/>
    <mergeCell ref="U299:U300"/>
    <mergeCell ref="V299:V300"/>
    <mergeCell ref="W299:W300"/>
    <mergeCell ref="W295:W298"/>
    <mergeCell ref="AI295:AI298"/>
    <mergeCell ref="X295:X298"/>
    <mergeCell ref="Y295:Y298"/>
    <mergeCell ref="Z295:Z298"/>
    <mergeCell ref="AA295:AA298"/>
    <mergeCell ref="AB295:AB298"/>
    <mergeCell ref="AC295:AC298"/>
    <mergeCell ref="K299:K300"/>
    <mergeCell ref="L299:L300"/>
    <mergeCell ref="AJ295:AJ298"/>
    <mergeCell ref="AK295:AK298"/>
    <mergeCell ref="AL295:AL298"/>
    <mergeCell ref="AD295:AD298"/>
    <mergeCell ref="AE295:AE298"/>
    <mergeCell ref="AF295:AF298"/>
    <mergeCell ref="AG295:AG298"/>
    <mergeCell ref="AH295:AH298"/>
    <mergeCell ref="X299:X300"/>
    <mergeCell ref="AJ299:AJ300"/>
    <mergeCell ref="Y299:Y300"/>
    <mergeCell ref="Z299:Z300"/>
    <mergeCell ref="AA299:AA300"/>
    <mergeCell ref="AB299:AB300"/>
    <mergeCell ref="AC299:AC300"/>
    <mergeCell ref="AD299:AD300"/>
    <mergeCell ref="X291:X293"/>
    <mergeCell ref="Y291:Y293"/>
    <mergeCell ref="Z291:Z293"/>
    <mergeCell ref="AA291:AA293"/>
    <mergeCell ref="AB291:AB293"/>
    <mergeCell ref="K295:K298"/>
    <mergeCell ref="AI291:AI293"/>
    <mergeCell ref="AJ291:AJ293"/>
    <mergeCell ref="AK291:AK293"/>
    <mergeCell ref="AL291:AL293"/>
    <mergeCell ref="AC291:AC293"/>
    <mergeCell ref="AD291:AD293"/>
    <mergeCell ref="AE291:AE293"/>
    <mergeCell ref="AF291:AF293"/>
    <mergeCell ref="AG291:AG293"/>
    <mergeCell ref="A295:A298"/>
    <mergeCell ref="B295:B298"/>
    <mergeCell ref="C295:C298"/>
    <mergeCell ref="D295:D298"/>
    <mergeCell ref="E295:E298"/>
    <mergeCell ref="F295:F298"/>
    <mergeCell ref="L295:L298"/>
    <mergeCell ref="M295:M298"/>
    <mergeCell ref="N295:N298"/>
    <mergeCell ref="O295:O298"/>
    <mergeCell ref="P295:P298"/>
    <mergeCell ref="Q295:Q298"/>
    <mergeCell ref="R295:R298"/>
    <mergeCell ref="S295:S298"/>
    <mergeCell ref="T295:T298"/>
    <mergeCell ref="U295:U298"/>
    <mergeCell ref="V295:V298"/>
    <mergeCell ref="AA288:AA290"/>
    <mergeCell ref="AB288:AB290"/>
    <mergeCell ref="AC288:AC290"/>
    <mergeCell ref="AD288:AD290"/>
    <mergeCell ref="AE288:AE290"/>
    <mergeCell ref="AL288:AL290"/>
    <mergeCell ref="AF288:AF290"/>
    <mergeCell ref="AG288:AG290"/>
    <mergeCell ref="AH288:AH290"/>
    <mergeCell ref="AI288:AI290"/>
    <mergeCell ref="AJ288:AJ290"/>
    <mergeCell ref="AK288:AK290"/>
    <mergeCell ref="A291:A293"/>
    <mergeCell ref="B291:B293"/>
    <mergeCell ref="C291:C293"/>
    <mergeCell ref="D291:D293"/>
    <mergeCell ref="E291:E293"/>
    <mergeCell ref="F291:F293"/>
    <mergeCell ref="K291:K293"/>
    <mergeCell ref="L291:L293"/>
    <mergeCell ref="M291:M293"/>
    <mergeCell ref="N291:N293"/>
    <mergeCell ref="O291:O293"/>
    <mergeCell ref="P291:P293"/>
    <mergeCell ref="Q291:Q293"/>
    <mergeCell ref="R291:R293"/>
    <mergeCell ref="S291:S293"/>
    <mergeCell ref="T291:T293"/>
    <mergeCell ref="U291:U293"/>
    <mergeCell ref="V291:V293"/>
    <mergeCell ref="AH291:AH293"/>
    <mergeCell ref="W291:W293"/>
    <mergeCell ref="AB285:AB287"/>
    <mergeCell ref="AC285:AC287"/>
    <mergeCell ref="AD285:AD287"/>
    <mergeCell ref="K288:K290"/>
    <mergeCell ref="L288:L290"/>
    <mergeCell ref="M288:M290"/>
    <mergeCell ref="AK285:AK287"/>
    <mergeCell ref="AL285:AL287"/>
    <mergeCell ref="AE285:AE287"/>
    <mergeCell ref="AF285:AF287"/>
    <mergeCell ref="AG285:AG287"/>
    <mergeCell ref="AH285:AH287"/>
    <mergeCell ref="AI285:AI287"/>
    <mergeCell ref="A288:A290"/>
    <mergeCell ref="B288:B290"/>
    <mergeCell ref="C288:C290"/>
    <mergeCell ref="D288:D290"/>
    <mergeCell ref="E288:E290"/>
    <mergeCell ref="F288:F290"/>
    <mergeCell ref="N288:N290"/>
    <mergeCell ref="O288:O290"/>
    <mergeCell ref="P288:P290"/>
    <mergeCell ref="Q288:Q290"/>
    <mergeCell ref="R288:R290"/>
    <mergeCell ref="S288:S290"/>
    <mergeCell ref="T288:T290"/>
    <mergeCell ref="U288:U290"/>
    <mergeCell ref="V288:V290"/>
    <mergeCell ref="W288:W290"/>
    <mergeCell ref="X288:X290"/>
    <mergeCell ref="Y288:Y290"/>
    <mergeCell ref="Z288:Z290"/>
    <mergeCell ref="K285:K287"/>
    <mergeCell ref="L285:L287"/>
    <mergeCell ref="AJ282:AJ284"/>
    <mergeCell ref="AK282:AK284"/>
    <mergeCell ref="AL282:AL284"/>
    <mergeCell ref="AD282:AD284"/>
    <mergeCell ref="AE282:AE284"/>
    <mergeCell ref="AF282:AF284"/>
    <mergeCell ref="AG282:AG284"/>
    <mergeCell ref="AH282:AH284"/>
    <mergeCell ref="A285:A287"/>
    <mergeCell ref="B285:B287"/>
    <mergeCell ref="C285:C287"/>
    <mergeCell ref="D285:D287"/>
    <mergeCell ref="E285:E287"/>
    <mergeCell ref="F285:F287"/>
    <mergeCell ref="M285:M287"/>
    <mergeCell ref="N285:N287"/>
    <mergeCell ref="O285:O287"/>
    <mergeCell ref="P285:P287"/>
    <mergeCell ref="Q285:Q287"/>
    <mergeCell ref="R285:R287"/>
    <mergeCell ref="S285:S287"/>
    <mergeCell ref="T285:T287"/>
    <mergeCell ref="U285:U287"/>
    <mergeCell ref="V285:V287"/>
    <mergeCell ref="W285:W287"/>
    <mergeCell ref="X285:X287"/>
    <mergeCell ref="AJ285:AJ287"/>
    <mergeCell ref="Y285:Y287"/>
    <mergeCell ref="Z285:Z287"/>
    <mergeCell ref="AA285:AA287"/>
    <mergeCell ref="A282:A284"/>
    <mergeCell ref="B282:B284"/>
    <mergeCell ref="C282:C284"/>
    <mergeCell ref="D282:D284"/>
    <mergeCell ref="E282:E284"/>
    <mergeCell ref="F282:F284"/>
    <mergeCell ref="L282:L284"/>
    <mergeCell ref="M282:M284"/>
    <mergeCell ref="N282:N284"/>
    <mergeCell ref="O282:O284"/>
    <mergeCell ref="P282:P284"/>
    <mergeCell ref="Q282:Q284"/>
    <mergeCell ref="R282:R284"/>
    <mergeCell ref="S282:S284"/>
    <mergeCell ref="T282:T284"/>
    <mergeCell ref="U282:U284"/>
    <mergeCell ref="V282:V284"/>
    <mergeCell ref="V278:V280"/>
    <mergeCell ref="AH278:AH280"/>
    <mergeCell ref="W278:W280"/>
    <mergeCell ref="X278:X280"/>
    <mergeCell ref="Y278:Y280"/>
    <mergeCell ref="Z278:Z280"/>
    <mergeCell ref="AA278:AA280"/>
    <mergeCell ref="AB278:AB280"/>
    <mergeCell ref="K282:K284"/>
    <mergeCell ref="AI278:AI280"/>
    <mergeCell ref="AJ278:AJ280"/>
    <mergeCell ref="AK278:AK280"/>
    <mergeCell ref="AL278:AL280"/>
    <mergeCell ref="AC278:AC280"/>
    <mergeCell ref="AD278:AD280"/>
    <mergeCell ref="AE278:AE280"/>
    <mergeCell ref="AF278:AF280"/>
    <mergeCell ref="AG278:AG280"/>
    <mergeCell ref="W282:W284"/>
    <mergeCell ref="AI282:AI284"/>
    <mergeCell ref="X282:X284"/>
    <mergeCell ref="Y282:Y284"/>
    <mergeCell ref="Z282:Z284"/>
    <mergeCell ref="AA282:AA284"/>
    <mergeCell ref="AB282:AB284"/>
    <mergeCell ref="AC282:AC284"/>
    <mergeCell ref="A278:A280"/>
    <mergeCell ref="B278:B280"/>
    <mergeCell ref="C278:C280"/>
    <mergeCell ref="D278:D280"/>
    <mergeCell ref="E278:E280"/>
    <mergeCell ref="F278:F280"/>
    <mergeCell ref="K278:K280"/>
    <mergeCell ref="L278:L280"/>
    <mergeCell ref="M278:M280"/>
    <mergeCell ref="N278:N280"/>
    <mergeCell ref="O278:O280"/>
    <mergeCell ref="P278:P280"/>
    <mergeCell ref="Q278:Q280"/>
    <mergeCell ref="R278:R280"/>
    <mergeCell ref="S278:S280"/>
    <mergeCell ref="T278:T280"/>
    <mergeCell ref="U278:U280"/>
    <mergeCell ref="A274:A277"/>
    <mergeCell ref="B274:B277"/>
    <mergeCell ref="C274:C277"/>
    <mergeCell ref="D274:D277"/>
    <mergeCell ref="E274:E277"/>
    <mergeCell ref="F274:F277"/>
    <mergeCell ref="N274:N277"/>
    <mergeCell ref="O274:O277"/>
    <mergeCell ref="P274:P277"/>
    <mergeCell ref="Q274:Q277"/>
    <mergeCell ref="R274:R277"/>
    <mergeCell ref="S274:S277"/>
    <mergeCell ref="T274:T277"/>
    <mergeCell ref="U274:U277"/>
    <mergeCell ref="V274:V277"/>
    <mergeCell ref="W274:W277"/>
    <mergeCell ref="X274:X277"/>
    <mergeCell ref="X272:X273"/>
    <mergeCell ref="AJ272:AJ273"/>
    <mergeCell ref="Y272:Y273"/>
    <mergeCell ref="Z272:Z273"/>
    <mergeCell ref="AA272:AA273"/>
    <mergeCell ref="AB272:AB273"/>
    <mergeCell ref="AC272:AC273"/>
    <mergeCell ref="AD272:AD273"/>
    <mergeCell ref="K274:K277"/>
    <mergeCell ref="L274:L277"/>
    <mergeCell ref="M274:M277"/>
    <mergeCell ref="AK272:AK273"/>
    <mergeCell ref="AL272:AL273"/>
    <mergeCell ref="AE272:AE273"/>
    <mergeCell ref="AF272:AF273"/>
    <mergeCell ref="AG272:AG273"/>
    <mergeCell ref="AH272:AH273"/>
    <mergeCell ref="AI272:AI273"/>
    <mergeCell ref="Y274:Y277"/>
    <mergeCell ref="Z274:Z277"/>
    <mergeCell ref="AA274:AA277"/>
    <mergeCell ref="AB274:AB277"/>
    <mergeCell ref="AC274:AC277"/>
    <mergeCell ref="AD274:AD277"/>
    <mergeCell ref="AE274:AE277"/>
    <mergeCell ref="AL274:AL277"/>
    <mergeCell ref="AF274:AF277"/>
    <mergeCell ref="AG274:AG277"/>
    <mergeCell ref="AH274:AH277"/>
    <mergeCell ref="AI274:AI277"/>
    <mergeCell ref="AJ274:AJ277"/>
    <mergeCell ref="AK274:AK277"/>
    <mergeCell ref="Y270:Y271"/>
    <mergeCell ref="Z270:Z271"/>
    <mergeCell ref="AA270:AA271"/>
    <mergeCell ref="AB270:AB271"/>
    <mergeCell ref="AC270:AC271"/>
    <mergeCell ref="K272:K273"/>
    <mergeCell ref="L272:L273"/>
    <mergeCell ref="AJ270:AJ271"/>
    <mergeCell ref="AK270:AK271"/>
    <mergeCell ref="AL270:AL271"/>
    <mergeCell ref="AD270:AD271"/>
    <mergeCell ref="AE270:AE271"/>
    <mergeCell ref="AF270:AF271"/>
    <mergeCell ref="AG270:AG271"/>
    <mergeCell ref="AH270:AH271"/>
    <mergeCell ref="A272:A273"/>
    <mergeCell ref="B272:B273"/>
    <mergeCell ref="C272:C273"/>
    <mergeCell ref="D272:D273"/>
    <mergeCell ref="E272:E273"/>
    <mergeCell ref="F272:F273"/>
    <mergeCell ref="M272:M273"/>
    <mergeCell ref="N272:N273"/>
    <mergeCell ref="O272:O273"/>
    <mergeCell ref="P272:P273"/>
    <mergeCell ref="Q272:Q273"/>
    <mergeCell ref="R272:R273"/>
    <mergeCell ref="S272:S273"/>
    <mergeCell ref="T272:T273"/>
    <mergeCell ref="U272:U273"/>
    <mergeCell ref="V272:V273"/>
    <mergeCell ref="W272:W273"/>
    <mergeCell ref="AA268:AA269"/>
    <mergeCell ref="AB268:AB269"/>
    <mergeCell ref="K270:K271"/>
    <mergeCell ref="AI268:AI269"/>
    <mergeCell ref="AJ268:AJ269"/>
    <mergeCell ref="AK268:AK269"/>
    <mergeCell ref="AL268:AL269"/>
    <mergeCell ref="AC268:AC269"/>
    <mergeCell ref="AD268:AD269"/>
    <mergeCell ref="AE268:AE269"/>
    <mergeCell ref="AF268:AF269"/>
    <mergeCell ref="AG268:AG269"/>
    <mergeCell ref="A270:A271"/>
    <mergeCell ref="B270:B271"/>
    <mergeCell ref="C270:C271"/>
    <mergeCell ref="D270:D271"/>
    <mergeCell ref="E270:E271"/>
    <mergeCell ref="F270:F271"/>
    <mergeCell ref="L270:L271"/>
    <mergeCell ref="M270:M271"/>
    <mergeCell ref="N270:N271"/>
    <mergeCell ref="O270:O271"/>
    <mergeCell ref="P270:P271"/>
    <mergeCell ref="Q270:Q271"/>
    <mergeCell ref="R270:R271"/>
    <mergeCell ref="S270:S271"/>
    <mergeCell ref="T270:T271"/>
    <mergeCell ref="U270:U271"/>
    <mergeCell ref="V270:V271"/>
    <mergeCell ref="W270:W271"/>
    <mergeCell ref="AI270:AI271"/>
    <mergeCell ref="X270:X271"/>
    <mergeCell ref="AD262:AD267"/>
    <mergeCell ref="AE262:AE267"/>
    <mergeCell ref="AL262:AL267"/>
    <mergeCell ref="AF262:AF267"/>
    <mergeCell ref="AG262:AG267"/>
    <mergeCell ref="AH262:AH267"/>
    <mergeCell ref="AI262:AI267"/>
    <mergeCell ref="AJ262:AJ267"/>
    <mergeCell ref="AK262:AK267"/>
    <mergeCell ref="A268:A269"/>
    <mergeCell ref="B268:B269"/>
    <mergeCell ref="C268:C269"/>
    <mergeCell ref="D268:D269"/>
    <mergeCell ref="E268:E269"/>
    <mergeCell ref="F268:F269"/>
    <mergeCell ref="K268:K269"/>
    <mergeCell ref="L268:L269"/>
    <mergeCell ref="M268:M269"/>
    <mergeCell ref="N268:N269"/>
    <mergeCell ref="O268:O269"/>
    <mergeCell ref="P268:P269"/>
    <mergeCell ref="Q268:Q269"/>
    <mergeCell ref="R268:R269"/>
    <mergeCell ref="S268:S269"/>
    <mergeCell ref="T268:T269"/>
    <mergeCell ref="U268:U269"/>
    <mergeCell ref="V268:V269"/>
    <mergeCell ref="AH268:AH269"/>
    <mergeCell ref="W268:W269"/>
    <mergeCell ref="X268:X269"/>
    <mergeCell ref="Y268:Y269"/>
    <mergeCell ref="Z268:Z269"/>
    <mergeCell ref="K262:K267"/>
    <mergeCell ref="L262:L267"/>
    <mergeCell ref="M262:M267"/>
    <mergeCell ref="AK256:AK260"/>
    <mergeCell ref="AL256:AL260"/>
    <mergeCell ref="AE256:AE260"/>
    <mergeCell ref="AF256:AF260"/>
    <mergeCell ref="AG256:AG260"/>
    <mergeCell ref="AH256:AH260"/>
    <mergeCell ref="AI256:AI260"/>
    <mergeCell ref="A262:A267"/>
    <mergeCell ref="B262:B267"/>
    <mergeCell ref="C262:C267"/>
    <mergeCell ref="D262:D267"/>
    <mergeCell ref="E262:E267"/>
    <mergeCell ref="F262:F267"/>
    <mergeCell ref="N262:N267"/>
    <mergeCell ref="O262:O267"/>
    <mergeCell ref="P262:P267"/>
    <mergeCell ref="Q262:Q267"/>
    <mergeCell ref="R262:R267"/>
    <mergeCell ref="S262:S267"/>
    <mergeCell ref="T262:T267"/>
    <mergeCell ref="U262:U267"/>
    <mergeCell ref="V262:V267"/>
    <mergeCell ref="W262:W267"/>
    <mergeCell ref="X262:X267"/>
    <mergeCell ref="Y262:Y267"/>
    <mergeCell ref="Z262:Z267"/>
    <mergeCell ref="AA262:AA267"/>
    <mergeCell ref="AB262:AB267"/>
    <mergeCell ref="AC262:AC267"/>
    <mergeCell ref="F253:F255"/>
    <mergeCell ref="A256:A260"/>
    <mergeCell ref="B256:B260"/>
    <mergeCell ref="C256:C260"/>
    <mergeCell ref="D256:D260"/>
    <mergeCell ref="E256:E260"/>
    <mergeCell ref="F256:F260"/>
    <mergeCell ref="A249:A255"/>
    <mergeCell ref="B249:B255"/>
    <mergeCell ref="C249:C255"/>
    <mergeCell ref="M256:M260"/>
    <mergeCell ref="N256:N260"/>
    <mergeCell ref="O256:O260"/>
    <mergeCell ref="P256:P260"/>
    <mergeCell ref="Q256:Q260"/>
    <mergeCell ref="R256:R260"/>
    <mergeCell ref="S256:S260"/>
    <mergeCell ref="Y249:Y255"/>
    <mergeCell ref="Z249:Z255"/>
    <mergeCell ref="AA249:AA255"/>
    <mergeCell ref="AB249:AB255"/>
    <mergeCell ref="AC249:AC255"/>
    <mergeCell ref="AD249:AD255"/>
    <mergeCell ref="K256:K260"/>
    <mergeCell ref="L256:L260"/>
    <mergeCell ref="AK249:AK255"/>
    <mergeCell ref="AL249:AL255"/>
    <mergeCell ref="AE249:AE255"/>
    <mergeCell ref="AF249:AF255"/>
    <mergeCell ref="AG249:AG255"/>
    <mergeCell ref="AH249:AH255"/>
    <mergeCell ref="AI249:AI255"/>
    <mergeCell ref="AJ249:AJ255"/>
    <mergeCell ref="T256:T260"/>
    <mergeCell ref="U256:U260"/>
    <mergeCell ref="V256:V260"/>
    <mergeCell ref="W256:W260"/>
    <mergeCell ref="X256:X260"/>
    <mergeCell ref="AJ256:AJ260"/>
    <mergeCell ref="Y256:Y260"/>
    <mergeCell ref="Z256:Z260"/>
    <mergeCell ref="AA256:AA260"/>
    <mergeCell ref="AB256:AB260"/>
    <mergeCell ref="AC256:AC260"/>
    <mergeCell ref="AD256:AD260"/>
    <mergeCell ref="V242:V248"/>
    <mergeCell ref="W242:W248"/>
    <mergeCell ref="AK242:AK248"/>
    <mergeCell ref="AL242:AL248"/>
    <mergeCell ref="AD242:AD248"/>
    <mergeCell ref="AE242:AE248"/>
    <mergeCell ref="AF242:AF248"/>
    <mergeCell ref="AG242:AG248"/>
    <mergeCell ref="AH242:AH248"/>
    <mergeCell ref="AI242:AI248"/>
    <mergeCell ref="D249:D255"/>
    <mergeCell ref="E249:E255"/>
    <mergeCell ref="F249:F252"/>
    <mergeCell ref="K249:K255"/>
    <mergeCell ref="L249:L255"/>
    <mergeCell ref="AJ242:AJ248"/>
    <mergeCell ref="X242:X248"/>
    <mergeCell ref="Y242:Y248"/>
    <mergeCell ref="Z242:Z248"/>
    <mergeCell ref="AA242:AA248"/>
    <mergeCell ref="M249:M255"/>
    <mergeCell ref="N249:N255"/>
    <mergeCell ref="O249:O255"/>
    <mergeCell ref="P249:P255"/>
    <mergeCell ref="Q249:Q255"/>
    <mergeCell ref="R249:R255"/>
    <mergeCell ref="S249:S255"/>
    <mergeCell ref="T249:T255"/>
    <mergeCell ref="U249:U255"/>
    <mergeCell ref="V249:V255"/>
    <mergeCell ref="W249:W255"/>
    <mergeCell ref="X249:X255"/>
    <mergeCell ref="K242:K248"/>
    <mergeCell ref="AJ236:AJ241"/>
    <mergeCell ref="AK236:AK241"/>
    <mergeCell ref="AL236:AL241"/>
    <mergeCell ref="AD236:AD241"/>
    <mergeCell ref="AE236:AE241"/>
    <mergeCell ref="AF236:AF241"/>
    <mergeCell ref="AG236:AG241"/>
    <mergeCell ref="AH236:AH241"/>
    <mergeCell ref="AI236:AI241"/>
    <mergeCell ref="F239:F241"/>
    <mergeCell ref="A242:A248"/>
    <mergeCell ref="B242:B248"/>
    <mergeCell ref="C242:C248"/>
    <mergeCell ref="D242:D248"/>
    <mergeCell ref="E242:E248"/>
    <mergeCell ref="F242:F248"/>
    <mergeCell ref="A236:A241"/>
    <mergeCell ref="B236:B241"/>
    <mergeCell ref="C236:C241"/>
    <mergeCell ref="L242:L248"/>
    <mergeCell ref="M242:M248"/>
    <mergeCell ref="N242:N248"/>
    <mergeCell ref="O242:O248"/>
    <mergeCell ref="P242:P248"/>
    <mergeCell ref="Q242:Q248"/>
    <mergeCell ref="AB242:AB248"/>
    <mergeCell ref="AC242:AC248"/>
    <mergeCell ref="R242:R248"/>
    <mergeCell ref="S242:S248"/>
    <mergeCell ref="T242:T248"/>
    <mergeCell ref="U242:U248"/>
    <mergeCell ref="D236:D241"/>
    <mergeCell ref="E236:E241"/>
    <mergeCell ref="F236:F238"/>
    <mergeCell ref="K236:K241"/>
    <mergeCell ref="AI231:AI235"/>
    <mergeCell ref="AJ231:AJ235"/>
    <mergeCell ref="W231:W235"/>
    <mergeCell ref="X231:X235"/>
    <mergeCell ref="Y231:Y235"/>
    <mergeCell ref="Z231:Z235"/>
    <mergeCell ref="L236:L241"/>
    <mergeCell ref="M236:M241"/>
    <mergeCell ref="N236:N241"/>
    <mergeCell ref="O236:O241"/>
    <mergeCell ref="P236:P241"/>
    <mergeCell ref="Q236:Q241"/>
    <mergeCell ref="R236:R241"/>
    <mergeCell ref="S236:S241"/>
    <mergeCell ref="T236:T241"/>
    <mergeCell ref="U236:U241"/>
    <mergeCell ref="V236:V241"/>
    <mergeCell ref="W236:W241"/>
    <mergeCell ref="X236:X241"/>
    <mergeCell ref="Y236:Y241"/>
    <mergeCell ref="Z236:Z241"/>
    <mergeCell ref="AA236:AA241"/>
    <mergeCell ref="AB236:AB241"/>
    <mergeCell ref="AC236:AC241"/>
    <mergeCell ref="S225:S230"/>
    <mergeCell ref="T225:T230"/>
    <mergeCell ref="U225:U230"/>
    <mergeCell ref="V225:V230"/>
    <mergeCell ref="W225:W230"/>
    <mergeCell ref="X225:X230"/>
    <mergeCell ref="Y225:Y230"/>
    <mergeCell ref="Z225:Z230"/>
    <mergeCell ref="AA225:AA230"/>
    <mergeCell ref="AB225:AB230"/>
    <mergeCell ref="R225:R230"/>
    <mergeCell ref="AK231:AK235"/>
    <mergeCell ref="AL231:AL235"/>
    <mergeCell ref="AC231:AC235"/>
    <mergeCell ref="AD231:AD235"/>
    <mergeCell ref="AE231:AE235"/>
    <mergeCell ref="AF231:AF235"/>
    <mergeCell ref="AG231:AG235"/>
    <mergeCell ref="AH231:AH235"/>
    <mergeCell ref="A231:A235"/>
    <mergeCell ref="B231:B235"/>
    <mergeCell ref="C231:C235"/>
    <mergeCell ref="D231:D235"/>
    <mergeCell ref="E231:E235"/>
    <mergeCell ref="F231:F235"/>
    <mergeCell ref="K231:K235"/>
    <mergeCell ref="L231:L235"/>
    <mergeCell ref="M231:M235"/>
    <mergeCell ref="N231:N235"/>
    <mergeCell ref="O231:O235"/>
    <mergeCell ref="P231:P235"/>
    <mergeCell ref="AA231:AA235"/>
    <mergeCell ref="AB231:AB235"/>
    <mergeCell ref="Q231:Q235"/>
    <mergeCell ref="R231:R235"/>
    <mergeCell ref="S231:S235"/>
    <mergeCell ref="T231:T235"/>
    <mergeCell ref="U231:U235"/>
    <mergeCell ref="V231:V235"/>
    <mergeCell ref="AI225:AI230"/>
    <mergeCell ref="AJ225:AJ230"/>
    <mergeCell ref="AK225:AK230"/>
    <mergeCell ref="AL225:AL230"/>
    <mergeCell ref="AC225:AC230"/>
    <mergeCell ref="AD225:AD230"/>
    <mergeCell ref="AE225:AE230"/>
    <mergeCell ref="AF225:AF230"/>
    <mergeCell ref="AG225:AG230"/>
    <mergeCell ref="AH225:AH230"/>
    <mergeCell ref="Y217:Y223"/>
    <mergeCell ref="Z217:Z223"/>
    <mergeCell ref="AA217:AA223"/>
    <mergeCell ref="AB217:AB223"/>
    <mergeCell ref="AC217:AC223"/>
    <mergeCell ref="AJ217:AJ223"/>
    <mergeCell ref="AK217:AK223"/>
    <mergeCell ref="AL217:AL223"/>
    <mergeCell ref="AD217:AD223"/>
    <mergeCell ref="AE217:AE223"/>
    <mergeCell ref="AF217:AF223"/>
    <mergeCell ref="AG217:AG223"/>
    <mergeCell ref="AH217:AH223"/>
    <mergeCell ref="AI217:AI223"/>
    <mergeCell ref="F220:F221"/>
    <mergeCell ref="F222:F223"/>
    <mergeCell ref="A225:A230"/>
    <mergeCell ref="B225:B230"/>
    <mergeCell ref="C225:C230"/>
    <mergeCell ref="D225:D230"/>
    <mergeCell ref="E225:E230"/>
    <mergeCell ref="F225:F227"/>
    <mergeCell ref="A217:A223"/>
    <mergeCell ref="B217:B223"/>
    <mergeCell ref="K225:K230"/>
    <mergeCell ref="L225:L230"/>
    <mergeCell ref="M225:M230"/>
    <mergeCell ref="N225:N230"/>
    <mergeCell ref="O225:O230"/>
    <mergeCell ref="P225:P230"/>
    <mergeCell ref="Q225:Q230"/>
    <mergeCell ref="F228:F230"/>
    <mergeCell ref="AJ213:AJ215"/>
    <mergeCell ref="AK213:AK215"/>
    <mergeCell ref="AL213:AL215"/>
    <mergeCell ref="AC213:AC215"/>
    <mergeCell ref="AD213:AD215"/>
    <mergeCell ref="AE213:AE215"/>
    <mergeCell ref="AF213:AF215"/>
    <mergeCell ref="AG213:AG215"/>
    <mergeCell ref="AH213:AH215"/>
    <mergeCell ref="C217:C223"/>
    <mergeCell ref="D217:D223"/>
    <mergeCell ref="E217:E223"/>
    <mergeCell ref="F217:F219"/>
    <mergeCell ref="K217:K223"/>
    <mergeCell ref="AI213:AI215"/>
    <mergeCell ref="W213:W215"/>
    <mergeCell ref="X213:X215"/>
    <mergeCell ref="Y213:Y215"/>
    <mergeCell ref="Z213:Z215"/>
    <mergeCell ref="L217:L223"/>
    <mergeCell ref="M217:M223"/>
    <mergeCell ref="N217:N223"/>
    <mergeCell ref="O217:O223"/>
    <mergeCell ref="P217:P223"/>
    <mergeCell ref="Q217:Q223"/>
    <mergeCell ref="R217:R223"/>
    <mergeCell ref="S217:S223"/>
    <mergeCell ref="T217:T223"/>
    <mergeCell ref="U217:U223"/>
    <mergeCell ref="V217:V223"/>
    <mergeCell ref="W217:W223"/>
    <mergeCell ref="X217:X223"/>
    <mergeCell ref="A213:A215"/>
    <mergeCell ref="B213:B215"/>
    <mergeCell ref="C213:C215"/>
    <mergeCell ref="D213:D215"/>
    <mergeCell ref="E213:E215"/>
    <mergeCell ref="F213:F215"/>
    <mergeCell ref="A208:A212"/>
    <mergeCell ref="B208:B212"/>
    <mergeCell ref="C208:C212"/>
    <mergeCell ref="K213:K215"/>
    <mergeCell ref="L213:L215"/>
    <mergeCell ref="M213:M215"/>
    <mergeCell ref="N213:N215"/>
    <mergeCell ref="O213:O215"/>
    <mergeCell ref="P213:P215"/>
    <mergeCell ref="AA213:AA215"/>
    <mergeCell ref="AB213:AB215"/>
    <mergeCell ref="Q213:Q215"/>
    <mergeCell ref="R213:R215"/>
    <mergeCell ref="S213:S215"/>
    <mergeCell ref="T213:T215"/>
    <mergeCell ref="U213:U215"/>
    <mergeCell ref="V213:V215"/>
    <mergeCell ref="T208:T212"/>
    <mergeCell ref="U208:U212"/>
    <mergeCell ref="V208:V212"/>
    <mergeCell ref="W208:W212"/>
    <mergeCell ref="X208:X212"/>
    <mergeCell ref="Y208:Y212"/>
    <mergeCell ref="Z208:Z212"/>
    <mergeCell ref="AA208:AA212"/>
    <mergeCell ref="AB208:AB212"/>
    <mergeCell ref="AI208:AI212"/>
    <mergeCell ref="AJ208:AJ212"/>
    <mergeCell ref="AK208:AK212"/>
    <mergeCell ref="AL208:AL212"/>
    <mergeCell ref="AC208:AC212"/>
    <mergeCell ref="AD208:AD212"/>
    <mergeCell ref="AE208:AE212"/>
    <mergeCell ref="AF208:AF212"/>
    <mergeCell ref="AG208:AG212"/>
    <mergeCell ref="AH208:AH212"/>
    <mergeCell ref="D208:D212"/>
    <mergeCell ref="E208:E212"/>
    <mergeCell ref="F208:F209"/>
    <mergeCell ref="F192:F195"/>
    <mergeCell ref="F196:F197"/>
    <mergeCell ref="F198:F200"/>
    <mergeCell ref="F201:F204"/>
    <mergeCell ref="F205:F207"/>
    <mergeCell ref="K208:K212"/>
    <mergeCell ref="L208:L212"/>
    <mergeCell ref="M208:M212"/>
    <mergeCell ref="N208:N212"/>
    <mergeCell ref="O208:O212"/>
    <mergeCell ref="P208:P212"/>
    <mergeCell ref="Q208:Q212"/>
    <mergeCell ref="R208:R212"/>
    <mergeCell ref="S208:S212"/>
    <mergeCell ref="F210:F212"/>
    <mergeCell ref="V190:V207"/>
    <mergeCell ref="W190:W207"/>
    <mergeCell ref="X190:X207"/>
    <mergeCell ref="Y190:Y207"/>
    <mergeCell ref="Z190:Z207"/>
    <mergeCell ref="AA190:AA207"/>
    <mergeCell ref="AB190:AB207"/>
    <mergeCell ref="AI190:AI207"/>
    <mergeCell ref="AJ190:AJ207"/>
    <mergeCell ref="AK190:AK207"/>
    <mergeCell ref="AL190:AL207"/>
    <mergeCell ref="AC190:AC207"/>
    <mergeCell ref="AD190:AD207"/>
    <mergeCell ref="AE190:AE207"/>
    <mergeCell ref="AF190:AF207"/>
    <mergeCell ref="AG190:AG207"/>
    <mergeCell ref="AH190:AH207"/>
    <mergeCell ref="A190:A207"/>
    <mergeCell ref="B190:B207"/>
    <mergeCell ref="C190:C207"/>
    <mergeCell ref="D190:D207"/>
    <mergeCell ref="E190:E207"/>
    <mergeCell ref="F190:F191"/>
    <mergeCell ref="K190:K207"/>
    <mergeCell ref="L190:L207"/>
    <mergeCell ref="M190:M207"/>
    <mergeCell ref="N190:N207"/>
    <mergeCell ref="O190:O207"/>
    <mergeCell ref="P190:P207"/>
    <mergeCell ref="Q190:Q207"/>
    <mergeCell ref="R190:R207"/>
    <mergeCell ref="S190:S207"/>
    <mergeCell ref="T190:T207"/>
    <mergeCell ref="U190:U207"/>
    <mergeCell ref="F183:F185"/>
    <mergeCell ref="A186:A188"/>
    <mergeCell ref="B186:B188"/>
    <mergeCell ref="C186:C188"/>
    <mergeCell ref="D186:D188"/>
    <mergeCell ref="E186:E188"/>
    <mergeCell ref="F186:F188"/>
    <mergeCell ref="N186:N188"/>
    <mergeCell ref="O186:O188"/>
    <mergeCell ref="P186:P188"/>
    <mergeCell ref="Q186:Q188"/>
    <mergeCell ref="R186:R188"/>
    <mergeCell ref="S186:S188"/>
    <mergeCell ref="T186:T188"/>
    <mergeCell ref="U186:U188"/>
    <mergeCell ref="V186:V188"/>
    <mergeCell ref="W186:W188"/>
    <mergeCell ref="W180:W185"/>
    <mergeCell ref="X180:X185"/>
    <mergeCell ref="Y180:Y185"/>
    <mergeCell ref="Z180:Z185"/>
    <mergeCell ref="AA180:AA185"/>
    <mergeCell ref="AB180:AB185"/>
    <mergeCell ref="AC180:AC185"/>
    <mergeCell ref="M186:M188"/>
    <mergeCell ref="AJ180:AJ185"/>
    <mergeCell ref="AK180:AK185"/>
    <mergeCell ref="AL180:AL185"/>
    <mergeCell ref="AD180:AD185"/>
    <mergeCell ref="AE180:AE185"/>
    <mergeCell ref="AF180:AF185"/>
    <mergeCell ref="AG180:AG185"/>
    <mergeCell ref="AH180:AH185"/>
    <mergeCell ref="AI180:AI185"/>
    <mergeCell ref="X186:X188"/>
    <mergeCell ref="Y186:Y188"/>
    <mergeCell ref="Z186:Z188"/>
    <mergeCell ref="AA186:AA188"/>
    <mergeCell ref="AB186:AB188"/>
    <mergeCell ref="AC186:AC188"/>
    <mergeCell ref="AD186:AD188"/>
    <mergeCell ref="AE186:AE188"/>
    <mergeCell ref="AL186:AL188"/>
    <mergeCell ref="AF186:AF188"/>
    <mergeCell ref="AG186:AG188"/>
    <mergeCell ref="AH186:AH188"/>
    <mergeCell ref="AI186:AI188"/>
    <mergeCell ref="AJ186:AJ188"/>
    <mergeCell ref="AK186:AK188"/>
    <mergeCell ref="AC174:AC179"/>
    <mergeCell ref="K180:K185"/>
    <mergeCell ref="AJ174:AJ179"/>
    <mergeCell ref="AK174:AK179"/>
    <mergeCell ref="AL174:AL179"/>
    <mergeCell ref="AD174:AD179"/>
    <mergeCell ref="AE174:AE179"/>
    <mergeCell ref="AF174:AF179"/>
    <mergeCell ref="AG174:AG179"/>
    <mergeCell ref="AH174:AH179"/>
    <mergeCell ref="AI174:AI179"/>
    <mergeCell ref="F177:F179"/>
    <mergeCell ref="A180:A185"/>
    <mergeCell ref="B180:B185"/>
    <mergeCell ref="C180:C185"/>
    <mergeCell ref="D180:D185"/>
    <mergeCell ref="E180:E185"/>
    <mergeCell ref="F180:F182"/>
    <mergeCell ref="A174:A179"/>
    <mergeCell ref="B174:B179"/>
    <mergeCell ref="C174:C179"/>
    <mergeCell ref="L180:L185"/>
    <mergeCell ref="M180:M185"/>
    <mergeCell ref="N180:N185"/>
    <mergeCell ref="O180:O185"/>
    <mergeCell ref="P180:P185"/>
    <mergeCell ref="Q180:Q185"/>
    <mergeCell ref="R180:R185"/>
    <mergeCell ref="S180:S185"/>
    <mergeCell ref="T180:T185"/>
    <mergeCell ref="U180:U185"/>
    <mergeCell ref="V180:V185"/>
    <mergeCell ref="AD171:AD172"/>
    <mergeCell ref="AE171:AE172"/>
    <mergeCell ref="AF171:AF172"/>
    <mergeCell ref="AG171:AG172"/>
    <mergeCell ref="AH171:AH172"/>
    <mergeCell ref="D174:D179"/>
    <mergeCell ref="E174:E179"/>
    <mergeCell ref="F174:F176"/>
    <mergeCell ref="K174:K179"/>
    <mergeCell ref="AI171:AI172"/>
    <mergeCell ref="AJ171:AJ172"/>
    <mergeCell ref="W171:W172"/>
    <mergeCell ref="X171:X172"/>
    <mergeCell ref="Y171:Y172"/>
    <mergeCell ref="Z171:Z172"/>
    <mergeCell ref="L174:L179"/>
    <mergeCell ref="M174:M179"/>
    <mergeCell ref="N174:N179"/>
    <mergeCell ref="O174:O179"/>
    <mergeCell ref="P174:P179"/>
    <mergeCell ref="Q174:Q179"/>
    <mergeCell ref="R174:R179"/>
    <mergeCell ref="S174:S179"/>
    <mergeCell ref="T174:T179"/>
    <mergeCell ref="U174:U179"/>
    <mergeCell ref="V174:V179"/>
    <mergeCell ref="W174:W179"/>
    <mergeCell ref="X174:X179"/>
    <mergeCell ref="Y174:Y179"/>
    <mergeCell ref="Z174:Z179"/>
    <mergeCell ref="AA174:AA179"/>
    <mergeCell ref="AB174:AB179"/>
    <mergeCell ref="AD169:AD170"/>
    <mergeCell ref="AE169:AE170"/>
    <mergeCell ref="AL169:AL170"/>
    <mergeCell ref="AF169:AF170"/>
    <mergeCell ref="AG169:AG170"/>
    <mergeCell ref="AH169:AH170"/>
    <mergeCell ref="AI169:AI170"/>
    <mergeCell ref="AJ169:AJ170"/>
    <mergeCell ref="AK169:AK170"/>
    <mergeCell ref="A171:A172"/>
    <mergeCell ref="B171:B172"/>
    <mergeCell ref="C171:C172"/>
    <mergeCell ref="D171:D172"/>
    <mergeCell ref="E171:E172"/>
    <mergeCell ref="F171:F172"/>
    <mergeCell ref="K171:K172"/>
    <mergeCell ref="L171:L172"/>
    <mergeCell ref="M171:M172"/>
    <mergeCell ref="N171:N172"/>
    <mergeCell ref="O171:O172"/>
    <mergeCell ref="P171:P172"/>
    <mergeCell ref="AA171:AA172"/>
    <mergeCell ref="AB171:AB172"/>
    <mergeCell ref="Q171:Q172"/>
    <mergeCell ref="R171:R172"/>
    <mergeCell ref="S171:S172"/>
    <mergeCell ref="T171:T172"/>
    <mergeCell ref="U171:U172"/>
    <mergeCell ref="V171:V172"/>
    <mergeCell ref="AK171:AK172"/>
    <mergeCell ref="AL171:AL172"/>
    <mergeCell ref="AC171:AC172"/>
    <mergeCell ref="K169:K170"/>
    <mergeCell ref="L169:L170"/>
    <mergeCell ref="M169:M170"/>
    <mergeCell ref="AK165:AK168"/>
    <mergeCell ref="AL165:AL168"/>
    <mergeCell ref="AE165:AE168"/>
    <mergeCell ref="AF165:AF168"/>
    <mergeCell ref="AG165:AG168"/>
    <mergeCell ref="AH165:AH168"/>
    <mergeCell ref="AI165:AI168"/>
    <mergeCell ref="A169:A170"/>
    <mergeCell ref="B169:B170"/>
    <mergeCell ref="C169:C170"/>
    <mergeCell ref="D169:D170"/>
    <mergeCell ref="E169:E170"/>
    <mergeCell ref="F169:F170"/>
    <mergeCell ref="N169:N170"/>
    <mergeCell ref="O169:O170"/>
    <mergeCell ref="P169:P170"/>
    <mergeCell ref="Q169:Q170"/>
    <mergeCell ref="R169:R170"/>
    <mergeCell ref="S169:S170"/>
    <mergeCell ref="T169:T170"/>
    <mergeCell ref="U169:U170"/>
    <mergeCell ref="V169:V170"/>
    <mergeCell ref="W169:W170"/>
    <mergeCell ref="X169:X170"/>
    <mergeCell ref="Y169:Y170"/>
    <mergeCell ref="Z169:Z170"/>
    <mergeCell ref="AA169:AA170"/>
    <mergeCell ref="AB169:AB170"/>
    <mergeCell ref="AC169:AC170"/>
    <mergeCell ref="A165:A168"/>
    <mergeCell ref="B165:B168"/>
    <mergeCell ref="C165:C168"/>
    <mergeCell ref="D165:D168"/>
    <mergeCell ref="E165:E168"/>
    <mergeCell ref="F165:F168"/>
    <mergeCell ref="M165:M168"/>
    <mergeCell ref="N165:N168"/>
    <mergeCell ref="O165:O168"/>
    <mergeCell ref="P165:P168"/>
    <mergeCell ref="Q165:Q168"/>
    <mergeCell ref="R165:R168"/>
    <mergeCell ref="S165:S168"/>
    <mergeCell ref="T165:T168"/>
    <mergeCell ref="U165:U168"/>
    <mergeCell ref="V165:V168"/>
    <mergeCell ref="W165:W168"/>
    <mergeCell ref="W159:W164"/>
    <mergeCell ref="AI159:AI164"/>
    <mergeCell ref="X159:X164"/>
    <mergeCell ref="Y159:Y164"/>
    <mergeCell ref="Z159:Z164"/>
    <mergeCell ref="AA159:AA164"/>
    <mergeCell ref="AB159:AB164"/>
    <mergeCell ref="AC159:AC164"/>
    <mergeCell ref="K165:K168"/>
    <mergeCell ref="L165:L168"/>
    <mergeCell ref="AJ159:AJ164"/>
    <mergeCell ref="AK159:AK164"/>
    <mergeCell ref="AL159:AL164"/>
    <mergeCell ref="AD159:AD164"/>
    <mergeCell ref="AE159:AE164"/>
    <mergeCell ref="AF159:AF164"/>
    <mergeCell ref="AG159:AG164"/>
    <mergeCell ref="AH159:AH164"/>
    <mergeCell ref="X165:X168"/>
    <mergeCell ref="AJ165:AJ168"/>
    <mergeCell ref="Y165:Y168"/>
    <mergeCell ref="Z165:Z168"/>
    <mergeCell ref="AA165:AA168"/>
    <mergeCell ref="AB165:AB168"/>
    <mergeCell ref="AC165:AC168"/>
    <mergeCell ref="AD165:AD168"/>
    <mergeCell ref="X157:X158"/>
    <mergeCell ref="Y157:Y158"/>
    <mergeCell ref="Z157:Z158"/>
    <mergeCell ref="AA157:AA158"/>
    <mergeCell ref="AB157:AB158"/>
    <mergeCell ref="K159:K164"/>
    <mergeCell ref="AI157:AI158"/>
    <mergeCell ref="AJ157:AJ158"/>
    <mergeCell ref="AK157:AK158"/>
    <mergeCell ref="AL157:AL158"/>
    <mergeCell ref="AC157:AC158"/>
    <mergeCell ref="AD157:AD158"/>
    <mergeCell ref="AE157:AE158"/>
    <mergeCell ref="AF157:AF158"/>
    <mergeCell ref="AG157:AG158"/>
    <mergeCell ref="A159:A164"/>
    <mergeCell ref="B159:B164"/>
    <mergeCell ref="C159:C164"/>
    <mergeCell ref="D159:D164"/>
    <mergeCell ref="E159:E164"/>
    <mergeCell ref="F159:F164"/>
    <mergeCell ref="L159:L164"/>
    <mergeCell ref="M159:M164"/>
    <mergeCell ref="N159:N164"/>
    <mergeCell ref="O159:O164"/>
    <mergeCell ref="P159:P164"/>
    <mergeCell ref="Q159:Q164"/>
    <mergeCell ref="R159:R164"/>
    <mergeCell ref="S159:S164"/>
    <mergeCell ref="T159:T164"/>
    <mergeCell ref="U159:U164"/>
    <mergeCell ref="V159:V164"/>
    <mergeCell ref="AA154:AA156"/>
    <mergeCell ref="AB154:AB156"/>
    <mergeCell ref="AC154:AC156"/>
    <mergeCell ref="AD154:AD156"/>
    <mergeCell ref="AE154:AE156"/>
    <mergeCell ref="AL154:AL156"/>
    <mergeCell ref="AF154:AF156"/>
    <mergeCell ref="AG154:AG156"/>
    <mergeCell ref="AH154:AH156"/>
    <mergeCell ref="AI154:AI156"/>
    <mergeCell ref="AJ154:AJ156"/>
    <mergeCell ref="AK154:AK156"/>
    <mergeCell ref="A157:A158"/>
    <mergeCell ref="B157:B158"/>
    <mergeCell ref="C157:C158"/>
    <mergeCell ref="D157:D158"/>
    <mergeCell ref="E157:E158"/>
    <mergeCell ref="F157:F158"/>
    <mergeCell ref="K157:K158"/>
    <mergeCell ref="L157:L158"/>
    <mergeCell ref="M157:M158"/>
    <mergeCell ref="N157:N158"/>
    <mergeCell ref="O157:O158"/>
    <mergeCell ref="P157:P158"/>
    <mergeCell ref="Q157:Q158"/>
    <mergeCell ref="R157:R158"/>
    <mergeCell ref="S157:S158"/>
    <mergeCell ref="T157:T158"/>
    <mergeCell ref="U157:U158"/>
    <mergeCell ref="V157:V158"/>
    <mergeCell ref="AH157:AH158"/>
    <mergeCell ref="W157:W158"/>
    <mergeCell ref="AB151:AB152"/>
    <mergeCell ref="AC151:AC152"/>
    <mergeCell ref="AD151:AD152"/>
    <mergeCell ref="K154:K156"/>
    <mergeCell ref="L154:L156"/>
    <mergeCell ref="M154:M156"/>
    <mergeCell ref="AK151:AK152"/>
    <mergeCell ref="AL151:AL152"/>
    <mergeCell ref="AE151:AE152"/>
    <mergeCell ref="AF151:AF152"/>
    <mergeCell ref="AG151:AG152"/>
    <mergeCell ref="AH151:AH152"/>
    <mergeCell ref="AI151:AI152"/>
    <mergeCell ref="A154:A156"/>
    <mergeCell ref="B154:B156"/>
    <mergeCell ref="C154:C156"/>
    <mergeCell ref="D154:D156"/>
    <mergeCell ref="E154:E156"/>
    <mergeCell ref="F154:F156"/>
    <mergeCell ref="N154:N156"/>
    <mergeCell ref="O154:O156"/>
    <mergeCell ref="P154:P156"/>
    <mergeCell ref="Q154:Q156"/>
    <mergeCell ref="R154:R156"/>
    <mergeCell ref="S154:S156"/>
    <mergeCell ref="T154:T156"/>
    <mergeCell ref="U154:U156"/>
    <mergeCell ref="V154:V156"/>
    <mergeCell ref="W154:W156"/>
    <mergeCell ref="X154:X156"/>
    <mergeCell ref="Y154:Y156"/>
    <mergeCell ref="Z154:Z156"/>
    <mergeCell ref="K151:K152"/>
    <mergeCell ref="L151:L152"/>
    <mergeCell ref="AJ149:AJ150"/>
    <mergeCell ref="AK149:AK150"/>
    <mergeCell ref="AL149:AL150"/>
    <mergeCell ref="AD149:AD150"/>
    <mergeCell ref="AE149:AE150"/>
    <mergeCell ref="AF149:AF150"/>
    <mergeCell ref="AG149:AG150"/>
    <mergeCell ref="AH149:AH150"/>
    <mergeCell ref="A151:A152"/>
    <mergeCell ref="B151:B152"/>
    <mergeCell ref="C151:C152"/>
    <mergeCell ref="D151:D152"/>
    <mergeCell ref="E151:E152"/>
    <mergeCell ref="F151:F152"/>
    <mergeCell ref="M151:M152"/>
    <mergeCell ref="N151:N152"/>
    <mergeCell ref="O151:O152"/>
    <mergeCell ref="P151:P152"/>
    <mergeCell ref="Q151:Q152"/>
    <mergeCell ref="R151:R152"/>
    <mergeCell ref="S151:S152"/>
    <mergeCell ref="T151:T152"/>
    <mergeCell ref="U151:U152"/>
    <mergeCell ref="V151:V152"/>
    <mergeCell ref="W151:W152"/>
    <mergeCell ref="X151:X152"/>
    <mergeCell ref="AJ151:AJ152"/>
    <mergeCell ref="Y151:Y152"/>
    <mergeCell ref="Z151:Z152"/>
    <mergeCell ref="AA151:AA152"/>
    <mergeCell ref="A149:A150"/>
    <mergeCell ref="B149:B150"/>
    <mergeCell ref="C149:C150"/>
    <mergeCell ref="D149:D150"/>
    <mergeCell ref="E149:E150"/>
    <mergeCell ref="F149:F150"/>
    <mergeCell ref="L149:L150"/>
    <mergeCell ref="M149:M150"/>
    <mergeCell ref="N149:N150"/>
    <mergeCell ref="O149:O150"/>
    <mergeCell ref="P149:P150"/>
    <mergeCell ref="Q149:Q150"/>
    <mergeCell ref="R149:R150"/>
    <mergeCell ref="S149:S150"/>
    <mergeCell ref="T149:T150"/>
    <mergeCell ref="U149:U150"/>
    <mergeCell ref="V149:V150"/>
    <mergeCell ref="V146:V148"/>
    <mergeCell ref="AH146:AH148"/>
    <mergeCell ref="W146:W148"/>
    <mergeCell ref="X146:X148"/>
    <mergeCell ref="Y146:Y148"/>
    <mergeCell ref="Z146:Z148"/>
    <mergeCell ref="AA146:AA148"/>
    <mergeCell ref="AB146:AB148"/>
    <mergeCell ref="K149:K150"/>
    <mergeCell ref="AI146:AI148"/>
    <mergeCell ref="AJ146:AJ148"/>
    <mergeCell ref="AK146:AK148"/>
    <mergeCell ref="AL146:AL148"/>
    <mergeCell ref="AC146:AC148"/>
    <mergeCell ref="AD146:AD148"/>
    <mergeCell ref="AE146:AE148"/>
    <mergeCell ref="AF146:AF148"/>
    <mergeCell ref="AG146:AG148"/>
    <mergeCell ref="W149:W150"/>
    <mergeCell ref="AI149:AI150"/>
    <mergeCell ref="X149:X150"/>
    <mergeCell ref="Y149:Y150"/>
    <mergeCell ref="Z149:Z150"/>
    <mergeCell ref="AA149:AA150"/>
    <mergeCell ref="AB149:AB150"/>
    <mergeCell ref="AC149:AC150"/>
    <mergeCell ref="A146:A148"/>
    <mergeCell ref="B146:B148"/>
    <mergeCell ref="C146:C148"/>
    <mergeCell ref="D146:D148"/>
    <mergeCell ref="E146:E148"/>
    <mergeCell ref="F146:F148"/>
    <mergeCell ref="K146:K148"/>
    <mergeCell ref="L146:L148"/>
    <mergeCell ref="M146:M148"/>
    <mergeCell ref="N146:N148"/>
    <mergeCell ref="O146:O148"/>
    <mergeCell ref="P146:P148"/>
    <mergeCell ref="Q146:Q148"/>
    <mergeCell ref="R146:R148"/>
    <mergeCell ref="S146:S148"/>
    <mergeCell ref="T146:T148"/>
    <mergeCell ref="U146:U148"/>
    <mergeCell ref="A143:A145"/>
    <mergeCell ref="B143:B145"/>
    <mergeCell ref="C143:C145"/>
    <mergeCell ref="D143:D145"/>
    <mergeCell ref="E143:E145"/>
    <mergeCell ref="F143:F145"/>
    <mergeCell ref="N143:N145"/>
    <mergeCell ref="O143:O145"/>
    <mergeCell ref="P143:P145"/>
    <mergeCell ref="Q143:Q145"/>
    <mergeCell ref="R143:R145"/>
    <mergeCell ref="S143:S145"/>
    <mergeCell ref="T143:T145"/>
    <mergeCell ref="U143:U145"/>
    <mergeCell ref="V143:V145"/>
    <mergeCell ref="W143:W145"/>
    <mergeCell ref="X143:X145"/>
    <mergeCell ref="X136:X142"/>
    <mergeCell ref="AJ136:AJ142"/>
    <mergeCell ref="Y136:Y142"/>
    <mergeCell ref="Z136:Z142"/>
    <mergeCell ref="AA136:AA142"/>
    <mergeCell ref="AB136:AB142"/>
    <mergeCell ref="AC136:AC142"/>
    <mergeCell ref="AD136:AD142"/>
    <mergeCell ref="K143:K145"/>
    <mergeCell ref="L143:L145"/>
    <mergeCell ref="M143:M145"/>
    <mergeCell ref="AK136:AK142"/>
    <mergeCell ref="AL136:AL142"/>
    <mergeCell ref="AE136:AE142"/>
    <mergeCell ref="AF136:AF142"/>
    <mergeCell ref="AG136:AG142"/>
    <mergeCell ref="AH136:AH142"/>
    <mergeCell ref="AI136:AI142"/>
    <mergeCell ref="Y143:Y145"/>
    <mergeCell ref="Z143:Z145"/>
    <mergeCell ref="AA143:AA145"/>
    <mergeCell ref="AB143:AB145"/>
    <mergeCell ref="AC143:AC145"/>
    <mergeCell ref="AD143:AD145"/>
    <mergeCell ref="AE143:AE145"/>
    <mergeCell ref="AL143:AL145"/>
    <mergeCell ref="AF143:AF145"/>
    <mergeCell ref="AG143:AG145"/>
    <mergeCell ref="AH143:AH145"/>
    <mergeCell ref="AI143:AI145"/>
    <mergeCell ref="AJ143:AJ145"/>
    <mergeCell ref="AK143:AK145"/>
    <mergeCell ref="Y132:Y135"/>
    <mergeCell ref="Z132:Z135"/>
    <mergeCell ref="AA132:AA135"/>
    <mergeCell ref="AB132:AB135"/>
    <mergeCell ref="AC132:AC135"/>
    <mergeCell ref="K136:K142"/>
    <mergeCell ref="L136:L142"/>
    <mergeCell ref="AJ132:AJ135"/>
    <mergeCell ref="AK132:AK135"/>
    <mergeCell ref="AL132:AL135"/>
    <mergeCell ref="AD132:AD135"/>
    <mergeCell ref="AE132:AE135"/>
    <mergeCell ref="AF132:AF135"/>
    <mergeCell ref="AG132:AG135"/>
    <mergeCell ref="AH132:AH135"/>
    <mergeCell ref="A136:A142"/>
    <mergeCell ref="B136:B142"/>
    <mergeCell ref="C136:C142"/>
    <mergeCell ref="D136:D142"/>
    <mergeCell ref="E136:E142"/>
    <mergeCell ref="F136:F142"/>
    <mergeCell ref="M136:M142"/>
    <mergeCell ref="N136:N142"/>
    <mergeCell ref="O136:O142"/>
    <mergeCell ref="P136:P142"/>
    <mergeCell ref="Q136:Q142"/>
    <mergeCell ref="R136:R142"/>
    <mergeCell ref="S136:S142"/>
    <mergeCell ref="T136:T142"/>
    <mergeCell ref="U136:U142"/>
    <mergeCell ref="V136:V142"/>
    <mergeCell ref="W136:W142"/>
    <mergeCell ref="AA129:AA131"/>
    <mergeCell ref="AB129:AB131"/>
    <mergeCell ref="K132:K135"/>
    <mergeCell ref="AI129:AI131"/>
    <mergeCell ref="AJ129:AJ131"/>
    <mergeCell ref="AK129:AK131"/>
    <mergeCell ref="AL129:AL131"/>
    <mergeCell ref="AC129:AC131"/>
    <mergeCell ref="AD129:AD131"/>
    <mergeCell ref="AE129:AE131"/>
    <mergeCell ref="AF129:AF131"/>
    <mergeCell ref="AG129:AG131"/>
    <mergeCell ref="A132:A135"/>
    <mergeCell ref="B132:B135"/>
    <mergeCell ref="C132:C135"/>
    <mergeCell ref="D132:D135"/>
    <mergeCell ref="E132:E135"/>
    <mergeCell ref="F132:F135"/>
    <mergeCell ref="L132:L135"/>
    <mergeCell ref="M132:M135"/>
    <mergeCell ref="N132:N135"/>
    <mergeCell ref="O132:O135"/>
    <mergeCell ref="P132:P135"/>
    <mergeCell ref="Q132:Q135"/>
    <mergeCell ref="R132:R135"/>
    <mergeCell ref="S132:S135"/>
    <mergeCell ref="T132:T135"/>
    <mergeCell ref="U132:U135"/>
    <mergeCell ref="V132:V135"/>
    <mergeCell ref="W132:W135"/>
    <mergeCell ref="AI132:AI135"/>
    <mergeCell ref="X132:X135"/>
    <mergeCell ref="AD125:AD128"/>
    <mergeCell ref="AE125:AE128"/>
    <mergeCell ref="AL125:AL128"/>
    <mergeCell ref="AF125:AF128"/>
    <mergeCell ref="AG125:AG128"/>
    <mergeCell ref="AH125:AH128"/>
    <mergeCell ref="AI125:AI128"/>
    <mergeCell ref="AJ125:AJ128"/>
    <mergeCell ref="AK125:AK128"/>
    <mergeCell ref="A129:A131"/>
    <mergeCell ref="B129:B131"/>
    <mergeCell ref="C129:C131"/>
    <mergeCell ref="D129:D131"/>
    <mergeCell ref="E129:E131"/>
    <mergeCell ref="F129:F131"/>
    <mergeCell ref="K129:K131"/>
    <mergeCell ref="L129:L131"/>
    <mergeCell ref="M129:M131"/>
    <mergeCell ref="N129:N131"/>
    <mergeCell ref="O129:O131"/>
    <mergeCell ref="P129:P131"/>
    <mergeCell ref="Q129:Q131"/>
    <mergeCell ref="R129:R131"/>
    <mergeCell ref="S129:S131"/>
    <mergeCell ref="T129:T131"/>
    <mergeCell ref="U129:U131"/>
    <mergeCell ref="V129:V131"/>
    <mergeCell ref="AH129:AH131"/>
    <mergeCell ref="W129:W131"/>
    <mergeCell ref="X129:X131"/>
    <mergeCell ref="Y129:Y131"/>
    <mergeCell ref="Z129:Z131"/>
    <mergeCell ref="K125:K128"/>
    <mergeCell ref="L125:L128"/>
    <mergeCell ref="M125:M128"/>
    <mergeCell ref="AK114:AK123"/>
    <mergeCell ref="AL114:AL123"/>
    <mergeCell ref="AE114:AE123"/>
    <mergeCell ref="AF114:AF123"/>
    <mergeCell ref="AG114:AG123"/>
    <mergeCell ref="AH114:AH123"/>
    <mergeCell ref="AI114:AI123"/>
    <mergeCell ref="A125:A128"/>
    <mergeCell ref="B125:B128"/>
    <mergeCell ref="C125:C128"/>
    <mergeCell ref="D125:D128"/>
    <mergeCell ref="E125:E128"/>
    <mergeCell ref="F125:F128"/>
    <mergeCell ref="N125:N128"/>
    <mergeCell ref="O125:O128"/>
    <mergeCell ref="P125:P128"/>
    <mergeCell ref="Q125:Q128"/>
    <mergeCell ref="R125:R128"/>
    <mergeCell ref="S125:S128"/>
    <mergeCell ref="T125:T128"/>
    <mergeCell ref="U125:U128"/>
    <mergeCell ref="V125:V128"/>
    <mergeCell ref="W125:W128"/>
    <mergeCell ref="X125:X128"/>
    <mergeCell ref="Y125:Y128"/>
    <mergeCell ref="Z125:Z128"/>
    <mergeCell ref="AA125:AA128"/>
    <mergeCell ref="AB125:AB128"/>
    <mergeCell ref="AC125:AC128"/>
    <mergeCell ref="A114:A123"/>
    <mergeCell ref="B114:B123"/>
    <mergeCell ref="C114:C123"/>
    <mergeCell ref="D114:D123"/>
    <mergeCell ref="E114:E123"/>
    <mergeCell ref="F114:F123"/>
    <mergeCell ref="M114:M123"/>
    <mergeCell ref="N114:N123"/>
    <mergeCell ref="O114:O123"/>
    <mergeCell ref="P114:P123"/>
    <mergeCell ref="Q114:Q123"/>
    <mergeCell ref="R114:R123"/>
    <mergeCell ref="S114:S123"/>
    <mergeCell ref="T114:T123"/>
    <mergeCell ref="U114:U123"/>
    <mergeCell ref="V114:V123"/>
    <mergeCell ref="W114:W123"/>
    <mergeCell ref="W109:W112"/>
    <mergeCell ref="AI109:AI112"/>
    <mergeCell ref="X109:X112"/>
    <mergeCell ref="Y109:Y112"/>
    <mergeCell ref="Z109:Z112"/>
    <mergeCell ref="AA109:AA112"/>
    <mergeCell ref="AB109:AB112"/>
    <mergeCell ref="AC109:AC112"/>
    <mergeCell ref="K114:K123"/>
    <mergeCell ref="L114:L123"/>
    <mergeCell ref="AJ109:AJ112"/>
    <mergeCell ref="AK109:AK112"/>
    <mergeCell ref="AL109:AL112"/>
    <mergeCell ref="AD109:AD112"/>
    <mergeCell ref="AE109:AE112"/>
    <mergeCell ref="AF109:AF112"/>
    <mergeCell ref="AG109:AG112"/>
    <mergeCell ref="AH109:AH112"/>
    <mergeCell ref="X114:X123"/>
    <mergeCell ref="AJ114:AJ123"/>
    <mergeCell ref="Y114:Y123"/>
    <mergeCell ref="Z114:Z123"/>
    <mergeCell ref="AA114:AA123"/>
    <mergeCell ref="AB114:AB123"/>
    <mergeCell ref="AC114:AC123"/>
    <mergeCell ref="AD114:AD123"/>
    <mergeCell ref="X105:X108"/>
    <mergeCell ref="Y105:Y108"/>
    <mergeCell ref="Z105:Z108"/>
    <mergeCell ref="AA105:AA108"/>
    <mergeCell ref="AB105:AB108"/>
    <mergeCell ref="K109:K112"/>
    <mergeCell ref="AI105:AI108"/>
    <mergeCell ref="AJ105:AJ108"/>
    <mergeCell ref="AK105:AK108"/>
    <mergeCell ref="AL105:AL108"/>
    <mergeCell ref="AC105:AC108"/>
    <mergeCell ref="AD105:AD108"/>
    <mergeCell ref="AE105:AE108"/>
    <mergeCell ref="AF105:AF108"/>
    <mergeCell ref="AG105:AG108"/>
    <mergeCell ref="A109:A112"/>
    <mergeCell ref="B109:B112"/>
    <mergeCell ref="C109:C112"/>
    <mergeCell ref="D109:D112"/>
    <mergeCell ref="E109:E112"/>
    <mergeCell ref="F109:F112"/>
    <mergeCell ref="L109:L112"/>
    <mergeCell ref="M109:M112"/>
    <mergeCell ref="N109:N112"/>
    <mergeCell ref="O109:O112"/>
    <mergeCell ref="P109:P112"/>
    <mergeCell ref="Q109:Q112"/>
    <mergeCell ref="R109:R112"/>
    <mergeCell ref="S109:S112"/>
    <mergeCell ref="T109:T112"/>
    <mergeCell ref="U109:U112"/>
    <mergeCell ref="V109:V112"/>
    <mergeCell ref="AK98:AK103"/>
    <mergeCell ref="AL98:AL103"/>
    <mergeCell ref="AC98:AC103"/>
    <mergeCell ref="AD98:AD103"/>
    <mergeCell ref="AE98:AE103"/>
    <mergeCell ref="AF98:AF103"/>
    <mergeCell ref="AG98:AG103"/>
    <mergeCell ref="AH98:AH103"/>
    <mergeCell ref="F100:F103"/>
    <mergeCell ref="A105:A108"/>
    <mergeCell ref="B105:B108"/>
    <mergeCell ref="C105:C108"/>
    <mergeCell ref="D105:D108"/>
    <mergeCell ref="E105:E108"/>
    <mergeCell ref="F105:F108"/>
    <mergeCell ref="A98:A103"/>
    <mergeCell ref="B98:B103"/>
    <mergeCell ref="C98:C103"/>
    <mergeCell ref="K105:K108"/>
    <mergeCell ref="L105:L108"/>
    <mergeCell ref="M105:M108"/>
    <mergeCell ref="N105:N108"/>
    <mergeCell ref="O105:O108"/>
    <mergeCell ref="P105:P108"/>
    <mergeCell ref="Q105:Q108"/>
    <mergeCell ref="R105:R108"/>
    <mergeCell ref="S105:S108"/>
    <mergeCell ref="T105:T108"/>
    <mergeCell ref="U105:U108"/>
    <mergeCell ref="V105:V108"/>
    <mergeCell ref="AH105:AH108"/>
    <mergeCell ref="W105:W108"/>
    <mergeCell ref="AD96:AD97"/>
    <mergeCell ref="AE96:AE97"/>
    <mergeCell ref="D98:D103"/>
    <mergeCell ref="E98:E103"/>
    <mergeCell ref="F98:F99"/>
    <mergeCell ref="AL96:AL97"/>
    <mergeCell ref="AF96:AF97"/>
    <mergeCell ref="AG96:AG97"/>
    <mergeCell ref="AH96:AH97"/>
    <mergeCell ref="AI96:AI97"/>
    <mergeCell ref="AJ96:AJ97"/>
    <mergeCell ref="AK96:AK97"/>
    <mergeCell ref="K98:K103"/>
    <mergeCell ref="L98:L103"/>
    <mergeCell ref="M98:M103"/>
    <mergeCell ref="N98:N103"/>
    <mergeCell ref="O98:O103"/>
    <mergeCell ref="P98:P103"/>
    <mergeCell ref="Q98:Q103"/>
    <mergeCell ref="R98:R103"/>
    <mergeCell ref="S98:S103"/>
    <mergeCell ref="T98:T103"/>
    <mergeCell ref="U98:U103"/>
    <mergeCell ref="V98:V103"/>
    <mergeCell ref="W98:W103"/>
    <mergeCell ref="X98:X103"/>
    <mergeCell ref="Y98:Y103"/>
    <mergeCell ref="Z98:Z103"/>
    <mergeCell ref="AA98:AA103"/>
    <mergeCell ref="AB98:AB103"/>
    <mergeCell ref="AI98:AI103"/>
    <mergeCell ref="AJ98:AJ103"/>
    <mergeCell ref="K96:K97"/>
    <mergeCell ref="L96:L97"/>
    <mergeCell ref="M96:M97"/>
    <mergeCell ref="AK93:AK95"/>
    <mergeCell ref="AL93:AL95"/>
    <mergeCell ref="AE93:AE95"/>
    <mergeCell ref="AF93:AF95"/>
    <mergeCell ref="AG93:AG95"/>
    <mergeCell ref="AH93:AH95"/>
    <mergeCell ref="AI93:AI95"/>
    <mergeCell ref="A96:A97"/>
    <mergeCell ref="B96:B97"/>
    <mergeCell ref="C96:C97"/>
    <mergeCell ref="D96:D97"/>
    <mergeCell ref="E96:E97"/>
    <mergeCell ref="F96:F97"/>
    <mergeCell ref="N96:N97"/>
    <mergeCell ref="O96:O97"/>
    <mergeCell ref="P96:P97"/>
    <mergeCell ref="Q96:Q97"/>
    <mergeCell ref="R96:R97"/>
    <mergeCell ref="S96:S97"/>
    <mergeCell ref="T96:T97"/>
    <mergeCell ref="U96:U97"/>
    <mergeCell ref="V96:V97"/>
    <mergeCell ref="W96:W97"/>
    <mergeCell ref="X96:X97"/>
    <mergeCell ref="Y96:Y97"/>
    <mergeCell ref="Z96:Z97"/>
    <mergeCell ref="AA96:AA97"/>
    <mergeCell ref="AB96:AB97"/>
    <mergeCell ref="AC96:AC97"/>
    <mergeCell ref="A93:A95"/>
    <mergeCell ref="B93:B95"/>
    <mergeCell ref="C93:C95"/>
    <mergeCell ref="D93:D95"/>
    <mergeCell ref="E93:E95"/>
    <mergeCell ref="F93:F95"/>
    <mergeCell ref="M93:M95"/>
    <mergeCell ref="N93:N95"/>
    <mergeCell ref="O93:O95"/>
    <mergeCell ref="P93:P95"/>
    <mergeCell ref="Q93:Q95"/>
    <mergeCell ref="R93:R95"/>
    <mergeCell ref="S93:S95"/>
    <mergeCell ref="T93:T95"/>
    <mergeCell ref="U93:U95"/>
    <mergeCell ref="V93:V95"/>
    <mergeCell ref="W93:W95"/>
    <mergeCell ref="T89:T92"/>
    <mergeCell ref="U89:U92"/>
    <mergeCell ref="V89:V92"/>
    <mergeCell ref="W89:W92"/>
    <mergeCell ref="AI89:AI92"/>
    <mergeCell ref="X89:X92"/>
    <mergeCell ref="Y89:Y92"/>
    <mergeCell ref="Z89:Z92"/>
    <mergeCell ref="AA89:AA92"/>
    <mergeCell ref="AB89:AB92"/>
    <mergeCell ref="AC89:AC92"/>
    <mergeCell ref="K93:K95"/>
    <mergeCell ref="L93:L95"/>
    <mergeCell ref="AJ89:AJ92"/>
    <mergeCell ref="AK89:AK92"/>
    <mergeCell ref="AL89:AL92"/>
    <mergeCell ref="AD89:AD92"/>
    <mergeCell ref="AE89:AE92"/>
    <mergeCell ref="AF89:AF92"/>
    <mergeCell ref="AG89:AG92"/>
    <mergeCell ref="AH89:AH92"/>
    <mergeCell ref="X93:X95"/>
    <mergeCell ref="AJ93:AJ95"/>
    <mergeCell ref="Y93:Y95"/>
    <mergeCell ref="Z93:Z95"/>
    <mergeCell ref="AA93:AA95"/>
    <mergeCell ref="AB93:AB95"/>
    <mergeCell ref="AC93:AC95"/>
    <mergeCell ref="AD93:AD95"/>
    <mergeCell ref="Z82:Z88"/>
    <mergeCell ref="AA82:AA88"/>
    <mergeCell ref="AB82:AB88"/>
    <mergeCell ref="AC82:AC88"/>
    <mergeCell ref="K89:K92"/>
    <mergeCell ref="AJ82:AJ88"/>
    <mergeCell ref="AK82:AK88"/>
    <mergeCell ref="AL82:AL88"/>
    <mergeCell ref="AD82:AD88"/>
    <mergeCell ref="AE82:AE88"/>
    <mergeCell ref="AF82:AF88"/>
    <mergeCell ref="AG82:AG88"/>
    <mergeCell ref="AH82:AH88"/>
    <mergeCell ref="AI82:AI88"/>
    <mergeCell ref="F87:F88"/>
    <mergeCell ref="A89:A92"/>
    <mergeCell ref="B89:B92"/>
    <mergeCell ref="C89:C92"/>
    <mergeCell ref="D89:D92"/>
    <mergeCell ref="E89:E92"/>
    <mergeCell ref="F89:F92"/>
    <mergeCell ref="A82:A88"/>
    <mergeCell ref="B82:B88"/>
    <mergeCell ref="C82:C88"/>
    <mergeCell ref="L89:L92"/>
    <mergeCell ref="M89:M92"/>
    <mergeCell ref="N89:N92"/>
    <mergeCell ref="O89:O92"/>
    <mergeCell ref="P89:P92"/>
    <mergeCell ref="Q89:Q92"/>
    <mergeCell ref="R89:R92"/>
    <mergeCell ref="S89:S92"/>
    <mergeCell ref="AK77:AK80"/>
    <mergeCell ref="AL77:AL80"/>
    <mergeCell ref="AC77:AC80"/>
    <mergeCell ref="AD77:AD80"/>
    <mergeCell ref="AE77:AE80"/>
    <mergeCell ref="AF77:AF80"/>
    <mergeCell ref="AG77:AG80"/>
    <mergeCell ref="AH77:AH80"/>
    <mergeCell ref="D82:D88"/>
    <mergeCell ref="E82:E88"/>
    <mergeCell ref="F82:F86"/>
    <mergeCell ref="K82:K88"/>
    <mergeCell ref="AI77:AI80"/>
    <mergeCell ref="AJ77:AJ80"/>
    <mergeCell ref="W77:W80"/>
    <mergeCell ref="X77:X80"/>
    <mergeCell ref="Y77:Y80"/>
    <mergeCell ref="Z77:Z80"/>
    <mergeCell ref="L82:L88"/>
    <mergeCell ref="M82:M88"/>
    <mergeCell ref="N82:N88"/>
    <mergeCell ref="O82:O88"/>
    <mergeCell ref="P82:P88"/>
    <mergeCell ref="Q82:Q88"/>
    <mergeCell ref="R82:R88"/>
    <mergeCell ref="S82:S88"/>
    <mergeCell ref="T82:T88"/>
    <mergeCell ref="U82:U88"/>
    <mergeCell ref="V82:V88"/>
    <mergeCell ref="W82:W88"/>
    <mergeCell ref="X82:X88"/>
    <mergeCell ref="Y82:Y88"/>
    <mergeCell ref="AA65:AA76"/>
    <mergeCell ref="AB65:AB76"/>
    <mergeCell ref="AC65:AC76"/>
    <mergeCell ref="AD65:AD76"/>
    <mergeCell ref="AE65:AE76"/>
    <mergeCell ref="AL65:AL76"/>
    <mergeCell ref="AF65:AF76"/>
    <mergeCell ref="AG65:AG76"/>
    <mergeCell ref="AH65:AH76"/>
    <mergeCell ref="AI65:AI76"/>
    <mergeCell ref="AJ65:AJ76"/>
    <mergeCell ref="AK65:AK76"/>
    <mergeCell ref="A77:A80"/>
    <mergeCell ref="B77:B80"/>
    <mergeCell ref="C77:C80"/>
    <mergeCell ref="D77:D80"/>
    <mergeCell ref="E77:E80"/>
    <mergeCell ref="F77:F80"/>
    <mergeCell ref="K77:K80"/>
    <mergeCell ref="L77:L80"/>
    <mergeCell ref="M77:M80"/>
    <mergeCell ref="N77:N80"/>
    <mergeCell ref="O77:O80"/>
    <mergeCell ref="P77:P80"/>
    <mergeCell ref="AA77:AA80"/>
    <mergeCell ref="AB77:AB80"/>
    <mergeCell ref="Q77:Q80"/>
    <mergeCell ref="R77:R80"/>
    <mergeCell ref="S77:S80"/>
    <mergeCell ref="T77:T80"/>
    <mergeCell ref="U77:U80"/>
    <mergeCell ref="V77:V80"/>
    <mergeCell ref="AB60:AB63"/>
    <mergeCell ref="AC60:AC63"/>
    <mergeCell ref="AD60:AD63"/>
    <mergeCell ref="K65:K76"/>
    <mergeCell ref="L65:L76"/>
    <mergeCell ref="M65:M76"/>
    <mergeCell ref="AK60:AK63"/>
    <mergeCell ref="AL60:AL63"/>
    <mergeCell ref="AE60:AE63"/>
    <mergeCell ref="AF60:AF63"/>
    <mergeCell ref="AG60:AG63"/>
    <mergeCell ref="AH60:AH63"/>
    <mergeCell ref="AI60:AI63"/>
    <mergeCell ref="A65:A76"/>
    <mergeCell ref="B65:B76"/>
    <mergeCell ref="C65:C76"/>
    <mergeCell ref="D65:D76"/>
    <mergeCell ref="E65:E76"/>
    <mergeCell ref="F65:F76"/>
    <mergeCell ref="N65:N76"/>
    <mergeCell ref="O65:O76"/>
    <mergeCell ref="P65:P76"/>
    <mergeCell ref="Q65:Q76"/>
    <mergeCell ref="R65:R76"/>
    <mergeCell ref="S65:S76"/>
    <mergeCell ref="T65:T76"/>
    <mergeCell ref="U65:U76"/>
    <mergeCell ref="V65:V76"/>
    <mergeCell ref="W65:W76"/>
    <mergeCell ref="X65:X76"/>
    <mergeCell ref="Y65:Y76"/>
    <mergeCell ref="Z65:Z76"/>
    <mergeCell ref="K60:K63"/>
    <mergeCell ref="L60:L63"/>
    <mergeCell ref="AJ57:AJ59"/>
    <mergeCell ref="AK57:AK59"/>
    <mergeCell ref="AL57:AL59"/>
    <mergeCell ref="AD57:AD59"/>
    <mergeCell ref="AE57:AE59"/>
    <mergeCell ref="AF57:AF59"/>
    <mergeCell ref="AG57:AG59"/>
    <mergeCell ref="AH57:AH59"/>
    <mergeCell ref="A60:A63"/>
    <mergeCell ref="B60:B63"/>
    <mergeCell ref="C60:C63"/>
    <mergeCell ref="D60:D63"/>
    <mergeCell ref="E60:E63"/>
    <mergeCell ref="F60:F63"/>
    <mergeCell ref="M60:M63"/>
    <mergeCell ref="N60:N63"/>
    <mergeCell ref="O60:O63"/>
    <mergeCell ref="P60:P63"/>
    <mergeCell ref="Q60:Q63"/>
    <mergeCell ref="R60:R63"/>
    <mergeCell ref="S60:S63"/>
    <mergeCell ref="T60:T63"/>
    <mergeCell ref="U60:U63"/>
    <mergeCell ref="V60:V63"/>
    <mergeCell ref="W60:W63"/>
    <mergeCell ref="X60:X63"/>
    <mergeCell ref="AJ60:AJ63"/>
    <mergeCell ref="Y60:Y63"/>
    <mergeCell ref="Z60:Z63"/>
    <mergeCell ref="AA60:AA63"/>
    <mergeCell ref="A57:A59"/>
    <mergeCell ref="B57:B59"/>
    <mergeCell ref="C57:C59"/>
    <mergeCell ref="D57:D59"/>
    <mergeCell ref="E57:E59"/>
    <mergeCell ref="F57:F59"/>
    <mergeCell ref="L57:L59"/>
    <mergeCell ref="M57:M59"/>
    <mergeCell ref="N57:N59"/>
    <mergeCell ref="O57:O59"/>
    <mergeCell ref="P57:P59"/>
    <mergeCell ref="Q57:Q59"/>
    <mergeCell ref="R57:R59"/>
    <mergeCell ref="S57:S59"/>
    <mergeCell ref="T57:T59"/>
    <mergeCell ref="U57:U59"/>
    <mergeCell ref="V57:V59"/>
    <mergeCell ref="V54:V56"/>
    <mergeCell ref="AH54:AH56"/>
    <mergeCell ref="W54:W56"/>
    <mergeCell ref="X54:X56"/>
    <mergeCell ref="Y54:Y56"/>
    <mergeCell ref="Z54:Z56"/>
    <mergeCell ref="AA54:AA56"/>
    <mergeCell ref="AB54:AB56"/>
    <mergeCell ref="K57:K59"/>
    <mergeCell ref="AI54:AI56"/>
    <mergeCell ref="AJ54:AJ56"/>
    <mergeCell ref="AK54:AK56"/>
    <mergeCell ref="AL54:AL56"/>
    <mergeCell ref="AC54:AC56"/>
    <mergeCell ref="AD54:AD56"/>
    <mergeCell ref="AE54:AE56"/>
    <mergeCell ref="AF54:AF56"/>
    <mergeCell ref="AG54:AG56"/>
    <mergeCell ref="W57:W59"/>
    <mergeCell ref="AI57:AI59"/>
    <mergeCell ref="X57:X59"/>
    <mergeCell ref="Y57:Y59"/>
    <mergeCell ref="Z57:Z59"/>
    <mergeCell ref="AA57:AA59"/>
    <mergeCell ref="AB57:AB59"/>
    <mergeCell ref="AC57:AC59"/>
    <mergeCell ref="A54:A56"/>
    <mergeCell ref="B54:B56"/>
    <mergeCell ref="C54:C56"/>
    <mergeCell ref="D54:D56"/>
    <mergeCell ref="E54:E56"/>
    <mergeCell ref="F54:F56"/>
    <mergeCell ref="K54:K56"/>
    <mergeCell ref="L54:L56"/>
    <mergeCell ref="M54:M56"/>
    <mergeCell ref="N54:N56"/>
    <mergeCell ref="O54:O56"/>
    <mergeCell ref="P54:P56"/>
    <mergeCell ref="Q54:Q56"/>
    <mergeCell ref="R54:R56"/>
    <mergeCell ref="S54:S56"/>
    <mergeCell ref="T54:T56"/>
    <mergeCell ref="U54:U56"/>
    <mergeCell ref="A48:A53"/>
    <mergeCell ref="B48:B53"/>
    <mergeCell ref="C48:C53"/>
    <mergeCell ref="D48:D53"/>
    <mergeCell ref="E48:E53"/>
    <mergeCell ref="F48:F53"/>
    <mergeCell ref="N48:N53"/>
    <mergeCell ref="O48:O53"/>
    <mergeCell ref="P48:P53"/>
    <mergeCell ref="Q48:Q53"/>
    <mergeCell ref="R48:R53"/>
    <mergeCell ref="S48:S53"/>
    <mergeCell ref="T48:T53"/>
    <mergeCell ref="U48:U53"/>
    <mergeCell ref="V48:V53"/>
    <mergeCell ref="W48:W53"/>
    <mergeCell ref="X48:X53"/>
    <mergeCell ref="AJ45:AJ47"/>
    <mergeCell ref="Y45:Y47"/>
    <mergeCell ref="Z45:Z47"/>
    <mergeCell ref="AA45:AA47"/>
    <mergeCell ref="AB45:AB47"/>
    <mergeCell ref="AC45:AC47"/>
    <mergeCell ref="AD45:AD47"/>
    <mergeCell ref="K48:K53"/>
    <mergeCell ref="L48:L53"/>
    <mergeCell ref="M48:M53"/>
    <mergeCell ref="AK45:AK47"/>
    <mergeCell ref="AL45:AL47"/>
    <mergeCell ref="AE45:AE47"/>
    <mergeCell ref="AF45:AF47"/>
    <mergeCell ref="AG45:AG47"/>
    <mergeCell ref="AH45:AH47"/>
    <mergeCell ref="AI45:AI47"/>
    <mergeCell ref="Y48:Y53"/>
    <mergeCell ref="Z48:Z53"/>
    <mergeCell ref="AA48:AA53"/>
    <mergeCell ref="AB48:AB53"/>
    <mergeCell ref="AC48:AC53"/>
    <mergeCell ref="AD48:AD53"/>
    <mergeCell ref="AE48:AE53"/>
    <mergeCell ref="AL48:AL53"/>
    <mergeCell ref="AF48:AF53"/>
    <mergeCell ref="AG48:AG53"/>
    <mergeCell ref="AH48:AH53"/>
    <mergeCell ref="AI48:AI53"/>
    <mergeCell ref="AJ48:AJ53"/>
    <mergeCell ref="AK48:AK53"/>
    <mergeCell ref="K45:K47"/>
    <mergeCell ref="L45:L47"/>
    <mergeCell ref="AK37:AK44"/>
    <mergeCell ref="AL37:AL44"/>
    <mergeCell ref="AE37:AE44"/>
    <mergeCell ref="AF37:AF44"/>
    <mergeCell ref="AG37:AG44"/>
    <mergeCell ref="AH37:AH44"/>
    <mergeCell ref="AI37:AI44"/>
    <mergeCell ref="AJ37:AJ44"/>
    <mergeCell ref="F42:F44"/>
    <mergeCell ref="A45:A47"/>
    <mergeCell ref="B45:B47"/>
    <mergeCell ref="C45:C47"/>
    <mergeCell ref="D45:D47"/>
    <mergeCell ref="E45:E47"/>
    <mergeCell ref="F45:F47"/>
    <mergeCell ref="A37:A44"/>
    <mergeCell ref="B37:B44"/>
    <mergeCell ref="C37:C44"/>
    <mergeCell ref="M45:M47"/>
    <mergeCell ref="N45:N47"/>
    <mergeCell ref="O45:O47"/>
    <mergeCell ref="P45:P47"/>
    <mergeCell ref="Q45:Q47"/>
    <mergeCell ref="R45:R47"/>
    <mergeCell ref="S45:S47"/>
    <mergeCell ref="T45:T47"/>
    <mergeCell ref="U45:U47"/>
    <mergeCell ref="V45:V47"/>
    <mergeCell ref="W45:W47"/>
    <mergeCell ref="X45:X47"/>
    <mergeCell ref="D37:D44"/>
    <mergeCell ref="E37:E44"/>
    <mergeCell ref="F37:F41"/>
    <mergeCell ref="K37:K44"/>
    <mergeCell ref="L37:L44"/>
    <mergeCell ref="AJ33:AJ35"/>
    <mergeCell ref="X33:X35"/>
    <mergeCell ref="Y33:Y35"/>
    <mergeCell ref="Z33:Z35"/>
    <mergeCell ref="AA33:AA35"/>
    <mergeCell ref="M37:M44"/>
    <mergeCell ref="N37:N44"/>
    <mergeCell ref="O37:O44"/>
    <mergeCell ref="P37:P44"/>
    <mergeCell ref="Q37:Q44"/>
    <mergeCell ref="R37:R44"/>
    <mergeCell ref="S37:S44"/>
    <mergeCell ref="T37:T44"/>
    <mergeCell ref="U37:U44"/>
    <mergeCell ref="V37:V44"/>
    <mergeCell ref="W37:W44"/>
    <mergeCell ref="X37:X44"/>
    <mergeCell ref="Y37:Y44"/>
    <mergeCell ref="Z37:Z44"/>
    <mergeCell ref="AA37:AA44"/>
    <mergeCell ref="AB37:AB44"/>
    <mergeCell ref="AC37:AC44"/>
    <mergeCell ref="AD37:AD44"/>
    <mergeCell ref="A33:A35"/>
    <mergeCell ref="B33:B35"/>
    <mergeCell ref="C33:C35"/>
    <mergeCell ref="D33:D35"/>
    <mergeCell ref="E33:E35"/>
    <mergeCell ref="F33:F35"/>
    <mergeCell ref="L33:L35"/>
    <mergeCell ref="M33:M35"/>
    <mergeCell ref="N33:N35"/>
    <mergeCell ref="O33:O35"/>
    <mergeCell ref="P33:P35"/>
    <mergeCell ref="Q33:Q35"/>
    <mergeCell ref="AB33:AB35"/>
    <mergeCell ref="AC33:AC35"/>
    <mergeCell ref="R33:R35"/>
    <mergeCell ref="S33:S35"/>
    <mergeCell ref="T33:T35"/>
    <mergeCell ref="U33:U35"/>
    <mergeCell ref="V33:V35"/>
    <mergeCell ref="W33:W35"/>
    <mergeCell ref="U28:U32"/>
    <mergeCell ref="V28:V32"/>
    <mergeCell ref="AH28:AH32"/>
    <mergeCell ref="W28:W32"/>
    <mergeCell ref="X28:X32"/>
    <mergeCell ref="Y28:Y32"/>
    <mergeCell ref="Z28:Z32"/>
    <mergeCell ref="AA28:AA32"/>
    <mergeCell ref="AB28:AB32"/>
    <mergeCell ref="K33:K35"/>
    <mergeCell ref="AI28:AI32"/>
    <mergeCell ref="AJ28:AJ32"/>
    <mergeCell ref="AK28:AK32"/>
    <mergeCell ref="AL28:AL32"/>
    <mergeCell ref="AC28:AC32"/>
    <mergeCell ref="AD28:AD32"/>
    <mergeCell ref="AE28:AE32"/>
    <mergeCell ref="AF28:AF32"/>
    <mergeCell ref="AG28:AG32"/>
    <mergeCell ref="AK33:AK35"/>
    <mergeCell ref="AL33:AL35"/>
    <mergeCell ref="AD33:AD35"/>
    <mergeCell ref="AE33:AE35"/>
    <mergeCell ref="AF33:AF35"/>
    <mergeCell ref="AG33:AG35"/>
    <mergeCell ref="AH33:AH35"/>
    <mergeCell ref="AI33:AI35"/>
    <mergeCell ref="AA21:AA27"/>
    <mergeCell ref="AB21:AB27"/>
    <mergeCell ref="AC21:AC27"/>
    <mergeCell ref="AD21:AD27"/>
    <mergeCell ref="AE21:AE27"/>
    <mergeCell ref="AL21:AL27"/>
    <mergeCell ref="AF21:AF27"/>
    <mergeCell ref="AG21:AG27"/>
    <mergeCell ref="AH21:AH27"/>
    <mergeCell ref="AI21:AI27"/>
    <mergeCell ref="AJ21:AJ27"/>
    <mergeCell ref="AK21:AK27"/>
    <mergeCell ref="F24:F27"/>
    <mergeCell ref="A28:A32"/>
    <mergeCell ref="B28:B32"/>
    <mergeCell ref="C28:C32"/>
    <mergeCell ref="D28:D32"/>
    <mergeCell ref="E28:E32"/>
    <mergeCell ref="F28:F32"/>
    <mergeCell ref="A21:A27"/>
    <mergeCell ref="B21:B27"/>
    <mergeCell ref="C21:C27"/>
    <mergeCell ref="K28:K32"/>
    <mergeCell ref="L28:L32"/>
    <mergeCell ref="M28:M32"/>
    <mergeCell ref="N28:N32"/>
    <mergeCell ref="O28:O32"/>
    <mergeCell ref="P28:P32"/>
    <mergeCell ref="Q28:Q32"/>
    <mergeCell ref="R28:R32"/>
    <mergeCell ref="S28:S32"/>
    <mergeCell ref="T28:T32"/>
    <mergeCell ref="Z15:Z19"/>
    <mergeCell ref="AA15:AA19"/>
    <mergeCell ref="AB15:AB19"/>
    <mergeCell ref="AC15:AC19"/>
    <mergeCell ref="AD15:AD19"/>
    <mergeCell ref="AK15:AK19"/>
    <mergeCell ref="AL15:AL19"/>
    <mergeCell ref="AE15:AE19"/>
    <mergeCell ref="AF15:AF19"/>
    <mergeCell ref="AG15:AG19"/>
    <mergeCell ref="AH15:AH19"/>
    <mergeCell ref="AI15:AI19"/>
    <mergeCell ref="AJ15:AJ19"/>
    <mergeCell ref="D21:D27"/>
    <mergeCell ref="E21:E27"/>
    <mergeCell ref="F21:F23"/>
    <mergeCell ref="K21:K27"/>
    <mergeCell ref="L21:L27"/>
    <mergeCell ref="M21:M27"/>
    <mergeCell ref="N21:N27"/>
    <mergeCell ref="O21:O27"/>
    <mergeCell ref="P21:P27"/>
    <mergeCell ref="Q21:Q27"/>
    <mergeCell ref="R21:R27"/>
    <mergeCell ref="S21:S27"/>
    <mergeCell ref="T21:T27"/>
    <mergeCell ref="U21:U27"/>
    <mergeCell ref="V21:V27"/>
    <mergeCell ref="W21:W27"/>
    <mergeCell ref="X21:X27"/>
    <mergeCell ref="Y21:Y27"/>
    <mergeCell ref="Z21:Z27"/>
    <mergeCell ref="AA10:AA14"/>
    <mergeCell ref="AB10:AB14"/>
    <mergeCell ref="AC10:AC14"/>
    <mergeCell ref="K15:K19"/>
    <mergeCell ref="L15:L19"/>
    <mergeCell ref="AJ10:AJ14"/>
    <mergeCell ref="AK10:AK14"/>
    <mergeCell ref="AL10:AL14"/>
    <mergeCell ref="AD10:AD14"/>
    <mergeCell ref="AE10:AE14"/>
    <mergeCell ref="AF10:AF14"/>
    <mergeCell ref="AG10:AG14"/>
    <mergeCell ref="AH10:AH14"/>
    <mergeCell ref="A15:A19"/>
    <mergeCell ref="B15:B19"/>
    <mergeCell ref="C15:C19"/>
    <mergeCell ref="D15:D19"/>
    <mergeCell ref="E15:E19"/>
    <mergeCell ref="F15:F19"/>
    <mergeCell ref="M15:M19"/>
    <mergeCell ref="N15:N19"/>
    <mergeCell ref="O15:O19"/>
    <mergeCell ref="P15:P19"/>
    <mergeCell ref="Q15:Q19"/>
    <mergeCell ref="R15:R19"/>
    <mergeCell ref="S15:S19"/>
    <mergeCell ref="T15:T19"/>
    <mergeCell ref="U15:U19"/>
    <mergeCell ref="V15:V19"/>
    <mergeCell ref="W15:W19"/>
    <mergeCell ref="X15:X19"/>
    <mergeCell ref="Y15:Y19"/>
    <mergeCell ref="K10:K14"/>
    <mergeCell ref="AI5:AI9"/>
    <mergeCell ref="AJ5:AJ9"/>
    <mergeCell ref="AK5:AK9"/>
    <mergeCell ref="AL5:AL9"/>
    <mergeCell ref="AC5:AC9"/>
    <mergeCell ref="AD5:AD9"/>
    <mergeCell ref="AE5:AE9"/>
    <mergeCell ref="AF5:AF9"/>
    <mergeCell ref="AG5:AG9"/>
    <mergeCell ref="A10:A14"/>
    <mergeCell ref="B10:B14"/>
    <mergeCell ref="C10:C14"/>
    <mergeCell ref="D10:D14"/>
    <mergeCell ref="E10:E14"/>
    <mergeCell ref="F10:F14"/>
    <mergeCell ref="L10:L14"/>
    <mergeCell ref="M10:M14"/>
    <mergeCell ref="N10:N14"/>
    <mergeCell ref="O10:O14"/>
    <mergeCell ref="P10:P14"/>
    <mergeCell ref="Q10:Q14"/>
    <mergeCell ref="R10:R14"/>
    <mergeCell ref="S10:S14"/>
    <mergeCell ref="T10:T14"/>
    <mergeCell ref="U10:U14"/>
    <mergeCell ref="V10:V14"/>
    <mergeCell ref="W10:W14"/>
    <mergeCell ref="AI10:AI14"/>
    <mergeCell ref="X10:X14"/>
    <mergeCell ref="Y10:Y14"/>
    <mergeCell ref="Z10:Z14"/>
    <mergeCell ref="M2:U2"/>
    <mergeCell ref="V2:AD2"/>
    <mergeCell ref="AE2:AL2"/>
    <mergeCell ref="A5:A9"/>
    <mergeCell ref="B5:B9"/>
    <mergeCell ref="C5:C9"/>
    <mergeCell ref="D5:D9"/>
    <mergeCell ref="E5:E9"/>
    <mergeCell ref="F5:F9"/>
    <mergeCell ref="K5:K9"/>
    <mergeCell ref="L5:L9"/>
    <mergeCell ref="M5:M9"/>
    <mergeCell ref="N5:N9"/>
    <mergeCell ref="O5:O9"/>
    <mergeCell ref="P5:P9"/>
    <mergeCell ref="Q5:Q9"/>
    <mergeCell ref="R5:R9"/>
    <mergeCell ref="S5:S9"/>
    <mergeCell ref="T5:T9"/>
    <mergeCell ref="U5:U9"/>
    <mergeCell ref="V5:V9"/>
    <mergeCell ref="AH5:AH9"/>
    <mergeCell ref="W5:W9"/>
    <mergeCell ref="X5:X9"/>
    <mergeCell ref="Y5:Y9"/>
    <mergeCell ref="Z5:Z9"/>
    <mergeCell ref="AA5:AA9"/>
    <mergeCell ref="AB5:AB9"/>
    <mergeCell ref="B2:L2"/>
  </mergeCells>
  <conditionalFormatting sqref="R189:R326 AA189:AA326 R5:R185 AA5:AA185 AJ5:AJ185">
    <cfRule type="containsText" dxfId="49" priority="46" operator="containsText" text="Subestimado">
      <formula>NOT(ISERROR(SEARCH("Subestimado",R5)))</formula>
    </cfRule>
    <cfRule type="containsText" dxfId="48" priority="47" operator="containsText" text="CRÍTICO">
      <formula>NOT(ISERROR(SEARCH("CRÍTICO",R5)))</formula>
    </cfRule>
    <cfRule type="containsText" dxfId="47" priority="48" operator="containsText" text="RIESGO">
      <formula>NOT(ISERROR(SEARCH("RIESGO",R5)))</formula>
    </cfRule>
    <cfRule type="containsText" dxfId="46" priority="49" operator="containsText" text="ADECUADO">
      <formula>NOT(ISERROR(SEARCH("ADECUADO",R5)))</formula>
    </cfRule>
    <cfRule type="containsText" dxfId="45" priority="50" operator="containsText" text="ÓPTIMO">
      <formula>NOT(ISERROR(SEARCH("ÓPTIMO",R5)))</formula>
    </cfRule>
  </conditionalFormatting>
  <conditionalFormatting sqref="AJ189:AJ326">
    <cfRule type="containsText" dxfId="44" priority="41" operator="containsText" text="Subestimado">
      <formula>NOT(ISERROR(SEARCH("Subestimado",AJ189)))</formula>
    </cfRule>
    <cfRule type="containsText" dxfId="43" priority="42" operator="containsText" text="CRÍTICO">
      <formula>NOT(ISERROR(SEARCH("CRÍTICO",AJ189)))</formula>
    </cfRule>
    <cfRule type="containsText" dxfId="42" priority="43" operator="containsText" text="RIESGO">
      <formula>NOT(ISERROR(SEARCH("RIESGO",AJ189)))</formula>
    </cfRule>
    <cfRule type="containsText" dxfId="41" priority="44" operator="containsText" text="ADECUADO">
      <formula>NOT(ISERROR(SEARCH("ADECUADO",AJ189)))</formula>
    </cfRule>
    <cfRule type="containsText" dxfId="40" priority="45" operator="containsText" text="ÓPTIMO">
      <formula>NOT(ISERROR(SEARCH("ÓPTIMO",AJ189)))</formula>
    </cfRule>
  </conditionalFormatting>
  <conditionalFormatting sqref="U186:U188">
    <cfRule type="containsText" dxfId="39" priority="36" operator="containsText" text="Subestimado">
      <formula>NOT(ISERROR(SEARCH("Subestimado",U186)))</formula>
    </cfRule>
    <cfRule type="containsText" dxfId="38" priority="37" operator="containsText" text="CRÍTICO">
      <formula>NOT(ISERROR(SEARCH("CRÍTICO",U186)))</formula>
    </cfRule>
    <cfRule type="containsText" dxfId="37" priority="38" operator="containsText" text="RIESGO">
      <formula>NOT(ISERROR(SEARCH("RIESGO",U186)))</formula>
    </cfRule>
    <cfRule type="containsText" dxfId="36" priority="39" operator="containsText" text="ADECUADO">
      <formula>NOT(ISERROR(SEARCH("ADECUADO",U186)))</formula>
    </cfRule>
    <cfRule type="containsText" dxfId="35" priority="40" operator="containsText" text="ÓPTIMO">
      <formula>NOT(ISERROR(SEARCH("ÓPTIMO",U186)))</formula>
    </cfRule>
  </conditionalFormatting>
  <conditionalFormatting sqref="U186:U188">
    <cfRule type="containsText" dxfId="34" priority="31" operator="containsText" text="Subestimado">
      <formula>NOT(ISERROR(SEARCH("Subestimado",U186)))</formula>
    </cfRule>
    <cfRule type="containsText" dxfId="33" priority="32" operator="containsText" text="CRÍTICO">
      <formula>NOT(ISERROR(SEARCH("CRÍTICO",U186)))</formula>
    </cfRule>
    <cfRule type="containsText" dxfId="32" priority="33" operator="containsText" text="RIESGO">
      <formula>NOT(ISERROR(SEARCH("RIESGO",U186)))</formula>
    </cfRule>
    <cfRule type="containsText" dxfId="31" priority="34" operator="containsText" text="ADECUADO">
      <formula>NOT(ISERROR(SEARCH("ADECUADO",U186)))</formula>
    </cfRule>
    <cfRule type="containsText" dxfId="30" priority="35" operator="containsText" text="ÓPTIMO">
      <formula>NOT(ISERROR(SEARCH("ÓPTIMO",U186)))</formula>
    </cfRule>
  </conditionalFormatting>
  <conditionalFormatting sqref="W186:AB188">
    <cfRule type="containsText" dxfId="29" priority="26" operator="containsText" text="Subestimado">
      <formula>NOT(ISERROR(SEARCH("Subestimado",W186)))</formula>
    </cfRule>
    <cfRule type="containsText" dxfId="28" priority="27" operator="containsText" text="CRÍTICO">
      <formula>NOT(ISERROR(SEARCH("CRÍTICO",W186)))</formula>
    </cfRule>
    <cfRule type="containsText" dxfId="27" priority="28" operator="containsText" text="RIESGO">
      <formula>NOT(ISERROR(SEARCH("RIESGO",W186)))</formula>
    </cfRule>
    <cfRule type="containsText" dxfId="26" priority="29" operator="containsText" text="ADECUADO">
      <formula>NOT(ISERROR(SEARCH("ADECUADO",W186)))</formula>
    </cfRule>
    <cfRule type="containsText" dxfId="25" priority="30" operator="containsText" text="ÓPTIMO">
      <formula>NOT(ISERROR(SEARCH("ÓPTIMO",W186)))</formula>
    </cfRule>
  </conditionalFormatting>
  <conditionalFormatting sqref="W186:AB188">
    <cfRule type="containsText" dxfId="24" priority="21" operator="containsText" text="Subestimado">
      <formula>NOT(ISERROR(SEARCH("Subestimado",W186)))</formula>
    </cfRule>
    <cfRule type="containsText" dxfId="23" priority="22" operator="containsText" text="CRÍTICO">
      <formula>NOT(ISERROR(SEARCH("CRÍTICO",W186)))</formula>
    </cfRule>
    <cfRule type="containsText" dxfId="22" priority="23" operator="containsText" text="RIESGO">
      <formula>NOT(ISERROR(SEARCH("RIESGO",W186)))</formula>
    </cfRule>
    <cfRule type="containsText" dxfId="21" priority="24" operator="containsText" text="ADECUADO">
      <formula>NOT(ISERROR(SEARCH("ADECUADO",W186)))</formula>
    </cfRule>
    <cfRule type="containsText" dxfId="20" priority="25" operator="containsText" text="ÓPTIMO">
      <formula>NOT(ISERROR(SEARCH("ÓPTIMO",W186)))</formula>
    </cfRule>
  </conditionalFormatting>
  <conditionalFormatting sqref="AC186:AC188">
    <cfRule type="containsText" dxfId="19" priority="16" operator="containsText" text="Subestimado">
      <formula>NOT(ISERROR(SEARCH("Subestimado",AC186)))</formula>
    </cfRule>
    <cfRule type="containsText" dxfId="18" priority="17" operator="containsText" text="CRÍTICO">
      <formula>NOT(ISERROR(SEARCH("CRÍTICO",AC186)))</formula>
    </cfRule>
    <cfRule type="containsText" dxfId="17" priority="18" operator="containsText" text="RIESGO">
      <formula>NOT(ISERROR(SEARCH("RIESGO",AC186)))</formula>
    </cfRule>
    <cfRule type="containsText" dxfId="16" priority="19" operator="containsText" text="ADECUADO">
      <formula>NOT(ISERROR(SEARCH("ADECUADO",AC186)))</formula>
    </cfRule>
    <cfRule type="containsText" dxfId="15" priority="20" operator="containsText" text="ÓPTIMO">
      <formula>NOT(ISERROR(SEARCH("ÓPTIMO",AC186)))</formula>
    </cfRule>
  </conditionalFormatting>
  <conditionalFormatting sqref="AC186:AC188">
    <cfRule type="containsText" dxfId="14" priority="11" operator="containsText" text="Subestimado">
      <formula>NOT(ISERROR(SEARCH("Subestimado",AC186)))</formula>
    </cfRule>
    <cfRule type="containsText" dxfId="13" priority="12" operator="containsText" text="CRÍTICO">
      <formula>NOT(ISERROR(SEARCH("CRÍTICO",AC186)))</formula>
    </cfRule>
    <cfRule type="containsText" dxfId="12" priority="13" operator="containsText" text="RIESGO">
      <formula>NOT(ISERROR(SEARCH("RIESGO",AC186)))</formula>
    </cfRule>
    <cfRule type="containsText" dxfId="11" priority="14" operator="containsText" text="ADECUADO">
      <formula>NOT(ISERROR(SEARCH("ADECUADO",AC186)))</formula>
    </cfRule>
    <cfRule type="containsText" dxfId="10" priority="15" operator="containsText" text="ÓPTIMO">
      <formula>NOT(ISERROR(SEARCH("ÓPTIMO",AC186)))</formula>
    </cfRule>
  </conditionalFormatting>
  <conditionalFormatting sqref="AD186:AD188">
    <cfRule type="containsText" dxfId="9" priority="6" operator="containsText" text="Subestimado">
      <formula>NOT(ISERROR(SEARCH("Subestimado",AD186)))</formula>
    </cfRule>
    <cfRule type="containsText" dxfId="8" priority="7" operator="containsText" text="CRÍTICO">
      <formula>NOT(ISERROR(SEARCH("CRÍTICO",AD186)))</formula>
    </cfRule>
    <cfRule type="containsText" dxfId="7" priority="8" operator="containsText" text="RIESGO">
      <formula>NOT(ISERROR(SEARCH("RIESGO",AD186)))</formula>
    </cfRule>
    <cfRule type="containsText" dxfId="6" priority="9" operator="containsText" text="ADECUADO">
      <formula>NOT(ISERROR(SEARCH("ADECUADO",AD186)))</formula>
    </cfRule>
    <cfRule type="containsText" dxfId="5" priority="10" operator="containsText" text="ÓPTIMO">
      <formula>NOT(ISERROR(SEARCH("ÓPTIMO",AD186)))</formula>
    </cfRule>
  </conditionalFormatting>
  <conditionalFormatting sqref="AD186:AD188">
    <cfRule type="containsText" dxfId="4" priority="1" operator="containsText" text="Subestimado">
      <formula>NOT(ISERROR(SEARCH("Subestimado",AD186)))</formula>
    </cfRule>
    <cfRule type="containsText" dxfId="3" priority="2" operator="containsText" text="CRÍTICO">
      <formula>NOT(ISERROR(SEARCH("CRÍTICO",AD186)))</formula>
    </cfRule>
    <cfRule type="containsText" dxfId="2" priority="3" operator="containsText" text="RIESGO">
      <formula>NOT(ISERROR(SEARCH("RIESGO",AD186)))</formula>
    </cfRule>
    <cfRule type="containsText" dxfId="1" priority="4" operator="containsText" text="ADECUADO">
      <formula>NOT(ISERROR(SEARCH("ADECUADO",AD186)))</formula>
    </cfRule>
    <cfRule type="containsText" dxfId="0" priority="5" operator="containsText" text="ÓPTIMO">
      <formula>NOT(ISERROR(SEARCH("ÓPTIMO",AD186)))</formula>
    </cfRule>
  </conditionalFormatting>
  <dataValidations count="1">
    <dataValidation type="list" allowBlank="1" showInputMessage="1" showErrorMessage="1" sqref="AJ189:AJ326 R189:R326 AB186:AD188 W186:Z188 U186:U188 R5:R185 AJ5:AJ185 AA5:AA326" xr:uid="{A5D10351-BE70-4E26-8D35-3D7E22CD51E7}">
      <formula1>"Subestimado,Óptimo,Adecuado,Riesgo,Crítico,No Aplica"</formula1>
    </dataValidation>
  </dataValidations>
  <printOptions horizontalCentered="1"/>
  <pageMargins left="0.39370078740157483" right="0.39370078740157483" top="0.39370078740157483" bottom="0.39370078740157483" header="0.31496062992125984" footer="0.31496062992125984"/>
  <pageSetup paperSize="120" scale="46" orientation="landscape" r:id="rId1"/>
  <headerFooter scaleWithDoc="0">
    <oddFooter>&amp;C&amp;G&amp;RDPE-FT-004. V1. Página &amp;P de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Convenciones y notas</vt:lpstr>
      <vt:lpstr>Seguimiento Plan de Accion 3 TR</vt:lpstr>
      <vt:lpstr>'Seguimiento Plan de Accion 3 TR'!Área_de_impresión</vt:lpstr>
      <vt:lpstr>'Seguimiento Plan de Accion 3 TR'!Títulos_a_imprimir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Tatiana Rodríguez Maldonado</dc:creator>
  <cp:lastModifiedBy>Yina Alejandra Fonseca Gomez</cp:lastModifiedBy>
  <dcterms:created xsi:type="dcterms:W3CDTF">2019-10-11T20:28:54Z</dcterms:created>
  <dcterms:modified xsi:type="dcterms:W3CDTF">2024-12-09T15:56:14Z</dcterms:modified>
</cp:coreProperties>
</file>